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EBDA1108-4BA4-43D5-88F2-7BDBE9C2493C}" xr6:coauthVersionLast="47" xr6:coauthVersionMax="47" xr10:uidLastSave="{00000000-0000-0000-0000-000000000000}"/>
  <bookViews>
    <workbookView xWindow="58635" yWindow="345" windowWidth="14205" windowHeight="15345"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70" i="1" l="1"/>
  <c r="E49" i="2" l="1"/>
  <c r="D49" i="2"/>
  <c r="C49" i="2"/>
  <c r="C3" i="2"/>
  <c r="E24" i="2"/>
  <c r="D24" i="2"/>
  <c r="C24" i="2"/>
  <c r="D42" i="2"/>
  <c r="C42" i="2"/>
  <c r="C39" i="2"/>
  <c r="D40" i="2"/>
  <c r="D41" i="2" s="1"/>
  <c r="C40" i="2"/>
  <c r="C41" i="2" s="1"/>
  <c r="C43" i="2"/>
  <c r="D43" i="2"/>
  <c r="C4" i="2"/>
  <c r="D68" i="1"/>
  <c r="D42" i="1"/>
  <c r="C7" i="2"/>
  <c r="E71" i="1"/>
  <c r="H51" i="1" l="1"/>
  <c r="H52" i="1"/>
  <c r="C46" i="2"/>
  <c r="D46" i="2"/>
  <c r="C44" i="2"/>
  <c r="E45" i="1" s="1"/>
  <c r="C45" i="2"/>
  <c r="D44" i="2"/>
  <c r="E46" i="1" s="1"/>
  <c r="D45" i="2"/>
  <c r="C10" i="2"/>
  <c r="E51" i="2" l="1"/>
  <c r="C51" i="2"/>
  <c r="H64" i="1" s="1"/>
  <c r="D51" i="2"/>
  <c r="D39" i="2"/>
  <c r="C11" i="2"/>
  <c r="H59" i="1" s="1"/>
  <c r="C12" i="2"/>
  <c r="E53" i="1" l="1"/>
  <c r="F70" i="1"/>
  <c r="H60" i="1"/>
  <c r="E53" i="2"/>
  <c r="C53" i="2"/>
  <c r="E64" i="1" s="1"/>
  <c r="E69" i="1"/>
  <c r="D53" i="2"/>
  <c r="E52" i="1"/>
  <c r="E59" i="1"/>
  <c r="E60" i="1"/>
  <c r="H28" i="1"/>
  <c r="H29" i="1"/>
  <c r="F69" i="1"/>
  <c r="H35" i="1"/>
  <c r="H34" i="1"/>
  <c r="E35" i="1"/>
  <c r="E34" i="1"/>
  <c r="E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6"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7"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43"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44"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51"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51" authorId="0" shapeId="0" xr:uid="{F595E286-2C18-4ECF-AC5F-E7592877A550}">
      <text>
        <r>
          <rPr>
            <b/>
            <sz val="14"/>
            <color indexed="9"/>
            <rFont val="Segoe UI"/>
            <family val="2"/>
          </rPr>
          <t xml:space="preserve">      
          Regler nach ganz links und dann um die angezeigten Clicks erhöhen.  </t>
        </r>
      </text>
    </comment>
    <comment ref="H52" authorId="0" shapeId="0" xr:uid="{DE5FB816-B281-4548-BD33-DE68A9D2569E}">
      <text>
        <r>
          <rPr>
            <b/>
            <sz val="14"/>
            <color indexed="9"/>
            <rFont val="Segoe UI"/>
            <family val="2"/>
          </rPr>
          <t xml:space="preserve">
       Regler nach ganz links und dann um die angezeigten Clicks erhöhen.  </t>
        </r>
      </text>
    </comment>
    <comment ref="E58"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8"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<sst xmlns="http://schemas.openxmlformats.org/spreadsheetml/2006/main" count="131" uniqueCount="89">
  <si>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</si>
  <si>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</si>
  <si>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</si>
  <si>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</si>
  <si>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</si>
  <si>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</si>
  <si>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</si>
  <si>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</si>
  <si>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</si>
  <si>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</si>
  <si>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</si>
  <si>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</si>
  <si>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</si>
  <si>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</si>
  <si>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</si>
  <si>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</si>
  <si>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</si>
  <si>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</si>
  <si>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</si>
  <si>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</si>
  <si>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</si>
  <si>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</si>
  <si>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</si>
  <si>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</si>
  <si>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</si>
  <si>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</si>
  <si>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</si>
  <si>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</si>
  <si>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</si>
  <si>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</si>
  <si>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</si>
  <si>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</si>
  <si>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</si>
  <si>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</si>
  <si>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</si>
  <si>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</si>
  <si>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</si>
  <si>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</si>
  <si>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</si>
  <si>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</si>
  <si>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</si>
  <si>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</si>
  <si>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</si>
  <si>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</si>
  <si>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</si>
  <si>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</si>
  <si>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</si>
  <si>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</si>
  <si>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</si>
  <si>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</si>
  <si>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</si>
  <si>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</si>
  <si>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Reifenmischung</t>
  </si>
  <si>
    <t>Sport</t>
  </si>
  <si>
    <t>Slick</t>
  </si>
  <si>
    <t>Drift</t>
  </si>
  <si>
    <t>Offroad</t>
  </si>
  <si>
    <t>Gelände</t>
  </si>
  <si>
    <t>Drag</t>
  </si>
  <si>
    <t>Strasse</t>
  </si>
  <si>
    <t>Semi-Slicks</t>
  </si>
  <si>
    <t>Oldtimer-Rennr.</t>
  </si>
  <si>
    <t>Stabilisatoren</t>
  </si>
  <si>
    <t xml:space="preserve">Gewichtsv. Inkl. Reifen </t>
  </si>
  <si>
    <t>Wert</t>
  </si>
  <si>
    <t>Stabi</t>
  </si>
  <si>
    <t>Gewicht</t>
  </si>
  <si>
    <t>Vorne / Ergebnis</t>
  </si>
  <si>
    <t>Hinten / Zwischenerg.</t>
  </si>
  <si>
    <t>Gewicht Aero Multi</t>
  </si>
  <si>
    <t>Gewicht Aero</t>
  </si>
  <si>
    <t>Voreinstellung</t>
  </si>
  <si>
    <t>Preset</t>
  </si>
  <si>
    <t>Stabis</t>
  </si>
  <si>
    <t>Funktion</t>
  </si>
  <si>
    <t>Asphalt (Rennfahrwerk)</t>
  </si>
  <si>
    <t>Asphalt (Rennfahrwerk - weich)</t>
  </si>
  <si>
    <t>Asphalt (Rennfahrwerk - hart)</t>
  </si>
  <si>
    <t>Dirt (Offroad-Fahrwerk)</t>
  </si>
  <si>
    <t>Querfeldein (Offroad-Fahrwerk)</t>
  </si>
  <si>
    <t>kein ABS</t>
  </si>
  <si>
    <t>ABS</t>
  </si>
  <si>
    <t>Bremskraft</t>
  </si>
  <si>
    <t>Bremmskraft Wert</t>
  </si>
  <si>
    <t>Bremmsverhältnis</t>
  </si>
  <si>
    <t>Bremmsverhältnis Wert</t>
  </si>
  <si>
    <t>Tuning &amp; Fahrhilfe</t>
  </si>
  <si>
    <t>kein ABS (Legacy)</t>
  </si>
  <si>
    <t>v. 2.4b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</si>
</sst>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1"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2">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8" fillId="6" borderId="0" xfId="0" applyFont="1" applyFill="1"/>
    <xf numFmtId="0" fontId="8" fillId="0" borderId="0" xfId="0" applyFont="1"/>
    <xf numFmtId="0" fontId="8" fillId="8" borderId="0" xfId="0" applyFont="1" applyFill="1" applyBorder="1" applyAlignment="1">
      <alignment vertical="center"/>
    </xf>
    <xf numFmtId="0" fontId="8" fillId="8" borderId="0" xfId="0" applyFont="1" applyFill="1" applyBorder="1" applyAlignment="1">
      <alignment horizontal="left" vertical="center"/>
    </xf>
    <xf numFmtId="0" fontId="8" fillId="8" borderId="0" xfId="0" applyFont="1" applyFill="1" applyBorder="1" applyAlignment="1">
      <alignment horizontal="center" vertical="center"/>
    </xf>
    <xf numFmtId="0" fontId="0" fillId="7" borderId="0" xfId="0" applyFill="1"/>
    <xf numFmtId="0" fontId="1" fillId="7" borderId="0" xfId="0" applyFont="1"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8"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6"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6" fillId="3" borderId="0" xfId="0" applyNumberFormat="1" applyFont="1" applyFill="1" applyBorder="1" applyAlignment="1">
      <alignment horizontal="center" vertical="center"/>
    </xf>
    <xf numFmtId="0" fontId="6"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8" fillId="6" borderId="0" xfId="0" applyFont="1" applyFill="1" applyAlignment="1">
      <alignment vertical="center"/>
    </xf>
    <xf numFmtId="0" fontId="8" fillId="8" borderId="0" xfId="0" applyFont="1" applyFill="1" applyAlignment="1">
      <alignment vertical="center"/>
    </xf>
    <xf numFmtId="0" fontId="0" fillId="8" borderId="0" xfId="0" applyFill="1" applyAlignment="1">
      <alignment vertical="center"/>
    </xf>
    <xf numFmtId="0" fontId="0" fillId="8" borderId="0" xfId="0" applyFill="1" applyBorder="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6" fillId="8" borderId="0" xfId="0" applyFont="1" applyFill="1" applyAlignment="1">
      <alignment vertical="center"/>
    </xf>
    <xf numFmtId="0" fontId="6"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7" fillId="5" borderId="0" xfId="0" applyFont="1" applyFill="1" applyBorder="1" applyAlignment="1">
      <alignment vertical="center"/>
    </xf>
    <xf numFmtId="0" fontId="1" fillId="7" borderId="0" xfId="0" applyFont="1" applyFill="1" applyAlignment="1">
      <alignment horizontal="center"/>
    </xf>
    <xf numFmtId="0" fontId="0" fillId="9" borderId="1" xfId="0" applyFill="1" applyBorder="1"/>
    <xf numFmtId="0" fontId="0" fillId="10" borderId="1" xfId="0" applyFill="1" applyBorder="1" applyAlignment="1">
      <alignment horizontal="center"/>
    </xf>
    <xf numFmtId="165" fontId="0" fillId="9" borderId="1" xfId="0" applyNumberFormat="1" applyFill="1" applyBorder="1" applyAlignment="1">
      <alignment horizontal="center"/>
    </xf>
    <xf numFmtId="0" fontId="0" fillId="9" borderId="1" xfId="0" applyFill="1" applyBorder="1" applyAlignment="1">
      <alignment horizontal="center"/>
    </xf>
    <xf numFmtId="0" fontId="0" fillId="10" borderId="1" xfId="0" applyFill="1" applyBorder="1"/>
    <xf numFmtId="2" fontId="0" fillId="9" borderId="1" xfId="0" applyNumberFormat="1" applyFill="1" applyBorder="1" applyAlignment="1">
      <alignment horizontal="center"/>
    </xf>
    <xf numFmtId="164" fontId="0" fillId="9" borderId="1" xfId="0" applyNumberFormat="1" applyFill="1" applyBorder="1" applyAlignment="1">
      <alignment horizontal="center"/>
    </xf>
    <xf numFmtId="1" fontId="0" fillId="9" borderId="1" xfId="0" applyNumberFormat="1" applyFill="1" applyBorder="1" applyAlignment="1">
      <alignment horizontal="center"/>
    </xf>
    <xf numFmtId="0" fontId="0" fillId="11" borderId="0" xfId="0" applyFill="1"/>
    <xf numFmtId="0" fontId="8" fillId="11" borderId="0" xfId="0" applyFont="1" applyFill="1"/>
    <xf numFmtId="0" fontId="0" fillId="9" borderId="1" xfId="0" applyFont="1" applyFill="1" applyBorder="1"/>
    <xf numFmtId="0" fontId="0" fillId="11" borderId="0" xfId="0" applyFill="1" applyAlignment="1">
      <alignment vertical="center"/>
    </xf>
    <xf numFmtId="0" fontId="8" fillId="11" borderId="0" xfId="0" applyFont="1" applyFill="1" applyAlignment="1">
      <alignment vertical="center"/>
    </xf>
    <xf numFmtId="0" fontId="0" fillId="6" borderId="0" xfId="0" applyFont="1" applyFill="1" applyAlignment="1">
      <alignment vertical="center"/>
    </xf>
    <xf numFmtId="0" fontId="0" fillId="7" borderId="0" xfId="0" applyFill="1" applyBorder="1" applyAlignment="1">
      <alignment vertical="center"/>
    </xf>
    <xf numFmtId="0" fontId="0" fillId="7" borderId="0" xfId="0" applyFill="1" applyAlignment="1">
      <alignment horizontal="center" vertical="center"/>
    </xf>
    <xf numFmtId="0" fontId="0" fillId="9" borderId="1" xfId="0" applyFill="1" applyBorder="1" applyAlignment="1">
      <alignment horizontal="center" vertical="center"/>
    </xf>
    <xf numFmtId="1" fontId="0" fillId="9" borderId="1" xfId="0" applyNumberFormat="1" applyFill="1" applyBorder="1" applyAlignment="1">
      <alignment horizontal="center" vertical="center"/>
    </xf>
    <xf numFmtId="1" fontId="0" fillId="6" borderId="0" xfId="0" applyNumberFormat="1" applyFill="1" applyAlignment="1">
      <alignment vertical="center"/>
    </xf>
    <xf numFmtId="1" fontId="0" fillId="5" borderId="0" xfId="0" applyNumberFormat="1" applyFill="1" applyAlignment="1">
      <alignment horizontal="center" vertical="center"/>
    </xf>
    <xf numFmtId="1" fontId="0" fillId="8" borderId="0" xfId="0" applyNumberFormat="1" applyFill="1" applyBorder="1" applyAlignment="1">
      <alignment horizontal="center" vertical="center"/>
    </xf>
    <xf numFmtId="1" fontId="0" fillId="5" borderId="0" xfId="0" applyNumberFormat="1" applyFill="1" applyAlignment="1">
      <alignment horizontal="center" vertical="center"/>
    </xf>
    <xf numFmtId="0" fontId="0" fillId="4" borderId="0" xfId="0" applyFont="1" applyFill="1" applyAlignment="1">
      <alignment horizontal="center" vertical="center"/>
    </xf>
    <xf numFmtId="1" fontId="0" fillId="5" borderId="0" xfId="0" applyNumberFormat="1" applyFill="1" applyAlignment="1">
      <alignment horizontal="center" vertical="center"/>
    </xf>
    <xf numFmtId="0" fontId="0" fillId="4" borderId="0" xfId="0" applyFill="1" applyAlignment="1">
      <alignment horizontal="center" vertical="center"/>
    </xf>
  </cellXfs>
  <cellStyles count="1">
    <cellStyle name="Standard" xfId="0" builtinId="0"/>
  </cellStyles>
  <dxfs count="0"/>
  <tableStyles count="0" defaultTableStyle="TableStyleMedium2" defaultPivotStyle="PivotStyleMedium9"/>
  <colors>
    <mruColors>
      <color rgb="FF33CCCC"/>
      <color rgb="FF99FFCC"/>
      <color rgb="FFCCFF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88</v>
      </c>
      <c r="G3" s="2"/>
    </row>
    <row r="4" spans="1:56" s="1" customFormat="1" ht="21" customHeight="1" x14ac:dyDescent="0.25">
      <c r="B4" s="43"/>
      <c r="C4" s="20"/>
      <c r="D4" s="20"/>
      <c r="E4" s="20"/>
      <c r="F4" s="44"/>
      <c r="G4" s="43"/>
      <c r="H4" s="20"/>
      <c r="I4" s="43"/>
      <c r="J4" s="43"/>
      <c r="K4" s="43"/>
    </row>
    <row r="5" spans="1:56" s="12" customFormat="1" ht="21" customHeight="1" x14ac:dyDescent="0.35">
      <c r="A5" s="11"/>
      <c r="B5" s="45"/>
      <c r="C5" s="46"/>
      <c r="D5" s="13" t="s">
        <v>34</v>
      </c>
      <c r="E5" s="15"/>
      <c r="F5" s="15"/>
      <c r="G5" s="13"/>
      <c r="H5" s="15"/>
      <c r="I5" s="13"/>
      <c r="J5" s="45"/>
      <c r="K5" s="45"/>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spans="1:56" ht="15" customHeight="1" x14ac:dyDescent="0.25">
      <c r="B6" s="43"/>
      <c r="C6" s="47"/>
      <c r="D6" s="24" t="s">
        <v>23</v>
      </c>
      <c r="E6" s="25"/>
      <c r="F6" s="25"/>
      <c r="G6" s="24" t="s">
        <v>2</v>
      </c>
      <c r="H6" s="25"/>
      <c r="I6" s="48"/>
      <c r="J6" s="43"/>
      <c r="K6" s="43"/>
    </row>
    <row r="7" spans="1:56" ht="15" customHeight="1" x14ac:dyDescent="0.25">
      <c r="B7" s="43"/>
      <c r="C7" s="47"/>
      <c r="D7" s="44" t="s">
        <v>9</v>
      </c>
      <c r="E7" s="26">
        <v>1450</v>
      </c>
      <c r="F7" s="25"/>
      <c r="G7" s="44" t="s">
        <v>45</v>
      </c>
      <c r="H7" s="27"/>
      <c r="I7" s="48"/>
      <c r="J7" s="43"/>
      <c r="K7" s="43"/>
    </row>
    <row r="8" spans="1:56" ht="15" customHeight="1" x14ac:dyDescent="0.25">
      <c r="B8" s="43"/>
      <c r="C8" s="47"/>
      <c r="D8" s="44" t="s">
        <v>51</v>
      </c>
      <c r="E8" s="27">
        <v>50</v>
      </c>
      <c r="F8" s="25"/>
      <c r="G8" s="44" t="s">
        <v>46</v>
      </c>
      <c r="H8" s="27"/>
      <c r="I8" s="48"/>
      <c r="J8" s="43"/>
      <c r="K8" s="43"/>
    </row>
    <row r="9" spans="1:56" s="1" customFormat="1" ht="15" customHeight="1" x14ac:dyDescent="0.25">
      <c r="B9" s="43"/>
      <c r="C9" s="47"/>
      <c r="D9" s="48"/>
      <c r="E9" s="25"/>
      <c r="F9" s="25"/>
      <c r="G9" s="48"/>
      <c r="H9" s="25"/>
      <c r="I9" s="48"/>
      <c r="J9" s="43"/>
      <c r="K9" s="43"/>
    </row>
    <row r="10" spans="1:56" s="1" customFormat="1" ht="15" customHeight="1" x14ac:dyDescent="0.25">
      <c r="B10" s="43"/>
      <c r="C10" s="47"/>
      <c r="D10" s="24" t="s">
        <v>14</v>
      </c>
      <c r="E10" s="25"/>
      <c r="F10" s="25"/>
      <c r="G10" s="24" t="s">
        <v>12</v>
      </c>
      <c r="H10" s="25"/>
      <c r="I10" s="48"/>
      <c r="J10" s="43"/>
      <c r="K10" s="43"/>
      <c r="L10" s="7"/>
      <c r="M10" s="7"/>
    </row>
    <row r="11" spans="1:56" s="1" customFormat="1" ht="15" customHeight="1" x14ac:dyDescent="0.25">
      <c r="B11" s="43"/>
      <c r="C11" s="47"/>
      <c r="D11" s="44" t="s">
        <v>15</v>
      </c>
      <c r="E11" s="28">
        <v>235</v>
      </c>
      <c r="F11" s="25"/>
      <c r="G11" s="44" t="s">
        <v>5</v>
      </c>
      <c r="H11" s="28"/>
      <c r="I11" s="48"/>
      <c r="J11" s="43"/>
      <c r="K11" s="43"/>
    </row>
    <row r="12" spans="1:56" ht="15" customHeight="1" x14ac:dyDescent="0.25">
      <c r="A12" s="2"/>
      <c r="B12" s="44"/>
      <c r="C12" s="48"/>
      <c r="D12" s="44" t="s">
        <v>16</v>
      </c>
      <c r="E12" s="28">
        <v>235</v>
      </c>
      <c r="F12" s="25"/>
      <c r="G12" s="44" t="s">
        <v>6</v>
      </c>
      <c r="H12" s="28"/>
      <c r="I12" s="48"/>
      <c r="J12" s="44"/>
      <c r="K12" s="43"/>
    </row>
    <row r="13" spans="1:56" s="2" customFormat="1" ht="15" customHeight="1" x14ac:dyDescent="0.25">
      <c r="A13" s="1"/>
      <c r="B13" s="43"/>
      <c r="C13" s="47"/>
      <c r="D13" s="48"/>
      <c r="E13" s="25"/>
      <c r="F13" s="25"/>
      <c r="G13" s="47"/>
      <c r="H13" s="47"/>
      <c r="I13" s="48"/>
      <c r="J13" s="43"/>
      <c r="K13" s="44"/>
    </row>
    <row r="14" spans="1:56" s="1" customFormat="1" ht="15" customHeight="1" x14ac:dyDescent="0.25">
      <c r="B14" s="43"/>
      <c r="C14" s="47"/>
      <c r="D14" s="24" t="s">
        <v>24</v>
      </c>
      <c r="E14" s="25"/>
      <c r="F14" s="25"/>
      <c r="G14" s="29" t="s">
        <v>48</v>
      </c>
      <c r="H14" s="23"/>
      <c r="I14" s="48"/>
      <c r="J14" s="43"/>
      <c r="K14" s="43"/>
    </row>
    <row r="15" spans="1:56" ht="15" customHeight="1" x14ac:dyDescent="0.25">
      <c r="B15" s="43"/>
      <c r="C15" s="47"/>
      <c r="D15" s="44" t="s">
        <v>25</v>
      </c>
      <c r="E15" s="28">
        <v>2.4</v>
      </c>
      <c r="F15" s="48"/>
      <c r="G15" s="43" t="s">
        <v>49</v>
      </c>
      <c r="H15" s="30" t="s">
        <v>32</v>
      </c>
      <c r="I15" s="48"/>
      <c r="J15" s="43"/>
      <c r="K15" s="43"/>
    </row>
    <row r="16" spans="1:56" ht="15" customHeight="1" x14ac:dyDescent="0.25">
      <c r="B16" s="43"/>
      <c r="C16" s="47"/>
      <c r="D16" s="25"/>
      <c r="E16" s="25"/>
      <c r="F16" s="25"/>
      <c r="G16" s="48"/>
      <c r="H16" s="25"/>
      <c r="I16" s="48"/>
      <c r="J16" s="43"/>
      <c r="K16" s="43"/>
    </row>
    <row r="17" spans="1:11" s="1" customFormat="1" ht="15" customHeight="1" x14ac:dyDescent="0.25">
      <c r="B17" s="43"/>
      <c r="C17" s="43"/>
      <c r="D17" s="44"/>
      <c r="E17" s="21"/>
      <c r="F17" s="21"/>
      <c r="G17" s="44"/>
      <c r="H17" s="21"/>
      <c r="I17" s="44"/>
      <c r="J17" s="43"/>
      <c r="K17" s="43"/>
    </row>
    <row r="18" spans="1:11" s="1" customFormat="1" ht="21" customHeight="1" x14ac:dyDescent="0.25">
      <c r="B18" s="45"/>
      <c r="C18" s="70"/>
      <c r="D18" s="71" t="s">
        <v>71</v>
      </c>
      <c r="E18" s="70"/>
      <c r="F18" s="70"/>
      <c r="G18" s="70"/>
      <c r="H18" s="70"/>
      <c r="I18" s="67"/>
      <c r="J18" s="45"/>
      <c r="K18" s="43"/>
    </row>
    <row r="19" spans="1:11" s="1" customFormat="1" ht="15" customHeight="1" x14ac:dyDescent="0.35">
      <c r="A19" s="11"/>
      <c r="B19" s="43"/>
      <c r="C19" s="70"/>
      <c r="D19" s="29" t="s">
        <v>86</v>
      </c>
      <c r="E19" s="70"/>
      <c r="F19" s="70"/>
      <c r="G19" s="70"/>
      <c r="H19" s="70"/>
      <c r="I19" s="67"/>
      <c r="J19" s="43"/>
      <c r="K19" s="43"/>
    </row>
    <row r="20" spans="1:11" s="11" customFormat="1" ht="15" customHeight="1" x14ac:dyDescent="0.35">
      <c r="A20" s="1"/>
      <c r="B20" s="43"/>
      <c r="C20" s="71"/>
      <c r="D20" s="72" t="s">
        <v>49</v>
      </c>
      <c r="E20" s="81" t="s">
        <v>75</v>
      </c>
      <c r="F20" s="81"/>
      <c r="G20" s="81"/>
      <c r="H20" s="71"/>
      <c r="I20" s="68"/>
      <c r="J20" s="43"/>
      <c r="K20" s="45"/>
    </row>
    <row r="21" spans="1:11" s="1" customFormat="1" ht="15" customHeight="1" x14ac:dyDescent="0.25">
      <c r="B21" s="43"/>
      <c r="C21" s="67"/>
      <c r="D21" s="43" t="s">
        <v>49</v>
      </c>
      <c r="E21" s="83" t="s">
        <v>80</v>
      </c>
      <c r="F21" s="83"/>
      <c r="G21" s="83"/>
      <c r="H21" s="67"/>
      <c r="I21" s="67"/>
      <c r="J21" s="43"/>
      <c r="K21" s="43"/>
    </row>
    <row r="22" spans="1:11" s="1" customFormat="1" ht="15" customHeight="1" x14ac:dyDescent="0.25">
      <c r="B22" s="43"/>
      <c r="C22" s="70"/>
      <c r="D22" s="70"/>
      <c r="E22" s="70"/>
      <c r="F22" s="70"/>
      <c r="G22" s="70"/>
      <c r="H22" s="70"/>
      <c r="I22" s="67"/>
      <c r="J22" s="43"/>
      <c r="K22" s="43"/>
    </row>
    <row r="23" spans="1:11" s="1" customFormat="1" ht="21" customHeight="1" x14ac:dyDescent="0.25">
      <c r="B23" s="43"/>
      <c r="C23" s="43"/>
      <c r="D23" s="43"/>
      <c r="E23" s="43"/>
      <c r="F23" s="43"/>
      <c r="G23" s="43"/>
      <c r="H23" s="43"/>
      <c r="J23" s="43"/>
      <c r="K23" s="43"/>
    </row>
    <row r="24" spans="1:11" s="1" customFormat="1" ht="15" customHeight="1" x14ac:dyDescent="0.25">
      <c r="B24" s="45"/>
      <c r="C24" s="46"/>
      <c r="D24" s="46" t="s">
        <v>14</v>
      </c>
      <c r="E24" s="22"/>
      <c r="F24" s="46"/>
      <c r="G24" s="46"/>
      <c r="H24" s="22"/>
      <c r="I24" s="46"/>
      <c r="J24" s="43"/>
      <c r="K24" s="43"/>
    </row>
    <row r="25" spans="1:11" s="1" customFormat="1" ht="15" customHeight="1" x14ac:dyDescent="0.35">
      <c r="A25" s="11"/>
      <c r="B25" s="43"/>
      <c r="C25" s="47"/>
      <c r="D25" s="29" t="s">
        <v>52</v>
      </c>
      <c r="E25" s="23"/>
      <c r="F25" s="23"/>
      <c r="G25" s="29" t="s">
        <v>40</v>
      </c>
      <c r="H25" s="23"/>
      <c r="I25" s="47"/>
      <c r="J25" s="43"/>
      <c r="K25" s="43"/>
    </row>
    <row r="26" spans="1:11" s="11" customFormat="1" ht="15" customHeight="1" x14ac:dyDescent="0.35">
      <c r="A26" s="1"/>
      <c r="B26" s="43"/>
      <c r="C26" s="47"/>
      <c r="D26" s="43" t="s">
        <v>49</v>
      </c>
      <c r="E26" s="30" t="s">
        <v>53</v>
      </c>
      <c r="F26" s="47"/>
      <c r="G26" s="43" t="s">
        <v>43</v>
      </c>
      <c r="H26" s="49"/>
      <c r="I26" s="47"/>
      <c r="J26" s="45"/>
      <c r="K26" s="45"/>
    </row>
    <row r="27" spans="1:11" s="1" customFormat="1" ht="15" customHeight="1" x14ac:dyDescent="0.25">
      <c r="B27" s="43"/>
      <c r="C27" s="47"/>
      <c r="D27" s="47"/>
      <c r="E27" s="47"/>
      <c r="F27" s="47"/>
      <c r="G27" s="43" t="s">
        <v>41</v>
      </c>
      <c r="H27" s="49"/>
      <c r="I27" s="47"/>
      <c r="J27" s="43"/>
      <c r="K27" s="43"/>
    </row>
    <row r="28" spans="1:11" s="1" customFormat="1" ht="15" customHeight="1" x14ac:dyDescent="0.25">
      <c r="B28" s="43"/>
      <c r="C28" s="47"/>
      <c r="D28" s="47"/>
      <c r="E28" s="47"/>
      <c r="F28" s="50"/>
      <c r="G28" s="51" t="s">
        <v>0</v>
      </c>
      <c r="H28" s="31">
        <f>((2.85*((MISC!C11/100)+(MISC!C11/100/1.9)))-(E15*E15/20*0.63)+0.2)*(1+H26/100)*(1+H27/100)*IF(E26="Strasse",MISC!C27,IF(E26="Sport",MISC!C28,IF(E26="Semi-Slicks",MISC!C29,IF(E26="Slick",MISC!C30,IF(E26="Drift",MISC!C31,IF(E26="Offroad",MISC!C32,IF(E26="Gelände",MISC!C33,IF(E26="Drag",MISC!C34,IF(E26="Oldtimer-Rennr.",MISC!C35)))))))))</f>
        <v>2.1277531999999999</v>
      </c>
      <c r="I28" s="47"/>
      <c r="J28" s="43"/>
      <c r="K28" s="43"/>
    </row>
    <row r="29" spans="1:11" ht="15" customHeight="1" x14ac:dyDescent="0.25">
      <c r="B29" s="43"/>
      <c r="C29" s="47"/>
      <c r="D29" s="47"/>
      <c r="E29" s="47"/>
      <c r="F29" s="50"/>
      <c r="G29" s="51" t="s">
        <v>1</v>
      </c>
      <c r="H29" s="31">
        <f>((2.85*((MISC!C12/100)+(MISC!C12/100/1.9))-(E15*E15/20*0.63)+0.2)*(1+H26/100)*(1-H27/100))*IF(E26="Strasse",MISC!C27,IF(E26="Sport",MISC!C28,IF(E26="Semi-Slicks",MISC!C29,IF(E26="Slick",MISC!C30,IF(E26="Drift",MISC!C31,IF(E26="Offroad",MISC!C32,IF(E26="Gelände",MISC!C33,IF(E26="Drag",MISC!C34,IF(E26="Oldtimer-Rennr.",MISC!C35)))))))))</f>
        <v>2.1277531999999999</v>
      </c>
      <c r="I29" s="47"/>
      <c r="J29" s="43"/>
      <c r="K29" s="43"/>
    </row>
    <row r="30" spans="1:11" ht="15" customHeight="1" x14ac:dyDescent="0.25">
      <c r="B30" s="43"/>
      <c r="C30" s="47"/>
      <c r="D30" s="47"/>
      <c r="E30" s="23"/>
      <c r="F30" s="47"/>
      <c r="G30" s="47"/>
      <c r="H30" s="23"/>
      <c r="I30" s="47"/>
      <c r="J30" s="43"/>
      <c r="K30" s="43"/>
    </row>
    <row r="31" spans="1:11" s="1" customFormat="1" ht="21" customHeight="1" x14ac:dyDescent="0.25">
      <c r="B31" s="43"/>
      <c r="C31" s="43"/>
      <c r="D31" s="43"/>
      <c r="E31" s="20"/>
      <c r="F31" s="43"/>
      <c r="G31" s="43"/>
      <c r="H31" s="20"/>
      <c r="I31" s="43"/>
      <c r="J31" s="43"/>
      <c r="K31" s="43"/>
    </row>
    <row r="32" spans="1:11" s="1" customFormat="1" ht="15" customHeight="1" x14ac:dyDescent="0.25">
      <c r="B32" s="43"/>
      <c r="C32" s="46"/>
      <c r="D32" s="13" t="s">
        <v>35</v>
      </c>
      <c r="E32" s="15"/>
      <c r="F32" s="15"/>
      <c r="G32" s="13"/>
      <c r="H32" s="15"/>
      <c r="I32" s="13"/>
      <c r="J32" s="43"/>
      <c r="K32" s="43"/>
    </row>
    <row r="33" spans="1:13" s="1" customFormat="1" ht="15" customHeight="1" x14ac:dyDescent="0.25">
      <c r="B33" s="45"/>
      <c r="C33" s="47"/>
      <c r="D33" s="29" t="s">
        <v>36</v>
      </c>
      <c r="E33" s="23"/>
      <c r="F33" s="23"/>
      <c r="G33" s="29" t="s">
        <v>37</v>
      </c>
      <c r="H33" s="23"/>
      <c r="I33" s="47"/>
      <c r="J33" s="54"/>
      <c r="K33" s="43"/>
    </row>
    <row r="34" spans="1:13" s="1" customFormat="1" ht="15" customHeight="1" x14ac:dyDescent="0.35">
      <c r="A34" s="11"/>
      <c r="B34" s="43"/>
      <c r="C34" s="23"/>
      <c r="D34" s="51" t="s">
        <v>0</v>
      </c>
      <c r="E34" s="32">
        <f>-5*(E15*E15/2/10+1)*(E11/(E11+E12))*(MISC!C12/100)</f>
        <v>-1.61</v>
      </c>
      <c r="F34" s="52"/>
      <c r="G34" s="51" t="s">
        <v>0</v>
      </c>
      <c r="H34" s="32">
        <f>(((E15*E15/2)*(MISC!C11/100+1)*(E11/(E11+E12))-1)/10)+0.09078</f>
        <v>0.20678000000000002</v>
      </c>
      <c r="I34" s="47"/>
      <c r="J34" s="43"/>
      <c r="K34" s="43"/>
    </row>
    <row r="35" spans="1:13" s="11" customFormat="1" ht="15" customHeight="1" x14ac:dyDescent="0.35">
      <c r="A35" s="1"/>
      <c r="B35" s="43"/>
      <c r="C35" s="23"/>
      <c r="D35" s="51" t="s">
        <v>1</v>
      </c>
      <c r="E35" s="32">
        <f>(-5*(E15*E15/2/10+1)*(E12/(E11+E12))*(MISC!C11/100))+0.2</f>
        <v>-1.4100000000000001</v>
      </c>
      <c r="F35" s="52"/>
      <c r="G35" s="51" t="s">
        <v>1</v>
      </c>
      <c r="H35" s="32">
        <f>(((E15*E15/2)*(MISC!C12/100+1)*(E12/(E11+E12))-1)/10)+0.113</f>
        <v>0.22900000000000004</v>
      </c>
      <c r="I35" s="47"/>
      <c r="J35" s="45"/>
      <c r="K35" s="45"/>
    </row>
    <row r="36" spans="1:13" s="1" customFormat="1" ht="15" customHeight="1" x14ac:dyDescent="0.25">
      <c r="B36" s="43"/>
      <c r="C36" s="47"/>
      <c r="D36" s="47"/>
      <c r="E36" s="23"/>
      <c r="F36" s="47"/>
      <c r="G36" s="47"/>
      <c r="H36" s="23"/>
      <c r="I36" s="47"/>
      <c r="J36" s="43"/>
      <c r="K36" s="43"/>
    </row>
    <row r="37" spans="1:13" ht="15" customHeight="1" x14ac:dyDescent="0.25">
      <c r="B37" s="43"/>
      <c r="C37" s="47"/>
      <c r="D37" s="29" t="s">
        <v>38</v>
      </c>
      <c r="E37" s="23"/>
      <c r="F37" s="47"/>
      <c r="G37" s="47"/>
      <c r="H37" s="23"/>
      <c r="I37" s="47"/>
      <c r="J37" s="43"/>
      <c r="K37" s="43"/>
    </row>
    <row r="38" spans="1:13" ht="15" customHeight="1" x14ac:dyDescent="0.25">
      <c r="B38" s="43"/>
      <c r="C38" s="47"/>
      <c r="D38" s="51" t="s">
        <v>39</v>
      </c>
      <c r="E38" s="32">
        <f>7-(E34*E34/2)</f>
        <v>5.7039499999999999</v>
      </c>
      <c r="F38" s="47"/>
      <c r="G38" s="47"/>
      <c r="H38" s="23"/>
      <c r="I38" s="47"/>
      <c r="J38" s="43"/>
      <c r="K38" s="43"/>
    </row>
    <row r="39" spans="1:13" ht="15" customHeight="1" x14ac:dyDescent="0.25">
      <c r="B39" s="43"/>
      <c r="C39" s="53"/>
      <c r="D39" s="53"/>
      <c r="E39" s="33"/>
      <c r="F39" s="53"/>
      <c r="G39" s="53"/>
      <c r="H39" s="33"/>
      <c r="I39" s="53"/>
      <c r="J39" s="43"/>
      <c r="K39" s="43"/>
    </row>
    <row r="40" spans="1:13" s="1" customFormat="1" ht="21" customHeight="1" x14ac:dyDescent="0.25">
      <c r="B40" s="43"/>
      <c r="C40" s="43"/>
      <c r="D40" s="43"/>
      <c r="E40" s="20"/>
      <c r="F40" s="43"/>
      <c r="G40" s="43"/>
      <c r="H40" s="20"/>
      <c r="I40" s="43"/>
      <c r="J40" s="43"/>
      <c r="K40" s="43"/>
      <c r="M40" s="18"/>
    </row>
    <row r="41" spans="1:13" s="1" customFormat="1" ht="15" customHeight="1" x14ac:dyDescent="0.25">
      <c r="B41" s="45"/>
      <c r="C41" s="46"/>
      <c r="D41" s="14" t="s">
        <v>26</v>
      </c>
      <c r="E41" s="15"/>
      <c r="F41" s="13"/>
      <c r="G41" s="13"/>
      <c r="H41" s="15"/>
      <c r="I41" s="13"/>
      <c r="J41" s="43"/>
      <c r="K41" s="43"/>
      <c r="M41" s="18"/>
    </row>
    <row r="42" spans="1:13" s="1" customFormat="1" ht="15" customHeight="1" x14ac:dyDescent="0.35">
      <c r="A42" s="11"/>
      <c r="B42" s="43"/>
      <c r="C42" s="47"/>
      <c r="D42" s="24" t="str">
        <f>IF(H15="RWD","RWD",IF(H15="FWD","FWD","AWD"))</f>
        <v>RWD</v>
      </c>
      <c r="E42" s="25"/>
      <c r="F42" s="48"/>
      <c r="G42" s="34"/>
      <c r="H42" s="25"/>
      <c r="I42" s="48"/>
      <c r="J42" s="43"/>
      <c r="K42" s="43"/>
    </row>
    <row r="43" spans="1:13" s="11" customFormat="1" ht="15" customHeight="1" x14ac:dyDescent="0.35">
      <c r="A43" s="1"/>
      <c r="B43" s="43"/>
      <c r="C43" s="47"/>
      <c r="D43" s="44" t="s">
        <v>44</v>
      </c>
      <c r="E43" s="28"/>
      <c r="F43" s="48"/>
      <c r="G43" s="48"/>
      <c r="H43" s="25"/>
      <c r="I43" s="48"/>
      <c r="J43" s="45"/>
      <c r="K43" s="45"/>
    </row>
    <row r="44" spans="1:13" s="1" customFormat="1" ht="15" customHeight="1" x14ac:dyDescent="0.25">
      <c r="B44" s="43"/>
      <c r="C44" s="47"/>
      <c r="D44" s="44" t="s">
        <v>41</v>
      </c>
      <c r="E44" s="28"/>
      <c r="F44" s="48"/>
      <c r="G44" s="48"/>
      <c r="H44" s="25"/>
      <c r="I44" s="48"/>
      <c r="J44" s="43"/>
      <c r="K44" s="43"/>
    </row>
    <row r="45" spans="1:13" s="1" customFormat="1" ht="15" customHeight="1" x14ac:dyDescent="0.25">
      <c r="B45" s="43"/>
      <c r="C45" s="47"/>
      <c r="D45" s="55" t="s">
        <v>0</v>
      </c>
      <c r="E45" s="35">
        <f>IF(H15="RWD",MISC!C44,IF(H15="FWD",MISC!C45,MISC!C46))*MISC!D24*(E43/100+1)*(E44/100+1)</f>
        <v>21.855357142857144</v>
      </c>
      <c r="F45" s="48"/>
      <c r="G45" s="48"/>
      <c r="H45" s="36"/>
      <c r="I45" s="48"/>
      <c r="J45" s="43"/>
      <c r="K45" s="43"/>
    </row>
    <row r="46" spans="1:13" s="1" customFormat="1" ht="15" customHeight="1" x14ac:dyDescent="0.25">
      <c r="B46" s="43"/>
      <c r="C46" s="47"/>
      <c r="D46" s="55" t="s">
        <v>1</v>
      </c>
      <c r="E46" s="35">
        <f>IF(H15="RWD",MISC!D44,IF(H15="FWD",MISC!D45,MISC!D46))*MISC!D24*(E43/100+1)*(E44/100-1)*-1</f>
        <v>27.341071428571432</v>
      </c>
      <c r="F46" s="48"/>
      <c r="G46" s="48"/>
      <c r="H46" s="36"/>
      <c r="I46" s="48"/>
      <c r="J46" s="43"/>
      <c r="K46" s="43"/>
    </row>
    <row r="47" spans="1:13" ht="15" customHeight="1" x14ac:dyDescent="0.25">
      <c r="B47" s="43"/>
      <c r="C47" s="47"/>
      <c r="D47" s="48"/>
      <c r="E47" s="25"/>
      <c r="F47" s="48"/>
      <c r="G47" s="48"/>
      <c r="H47" s="25"/>
      <c r="I47" s="48"/>
      <c r="J47" s="43"/>
      <c r="K47" s="43"/>
    </row>
    <row r="48" spans="1:13" s="1" customFormat="1" ht="21" customHeight="1" x14ac:dyDescent="0.25">
      <c r="B48" s="45"/>
      <c r="C48" s="43"/>
      <c r="D48" s="44"/>
      <c r="E48" s="21"/>
      <c r="F48" s="44"/>
      <c r="G48" s="44"/>
      <c r="H48" s="21"/>
      <c r="I48" s="44"/>
      <c r="J48" s="43"/>
      <c r="K48" s="43"/>
    </row>
    <row r="49" spans="1:56" s="1" customFormat="1" ht="15" customHeight="1" x14ac:dyDescent="0.35">
      <c r="A49" s="11"/>
      <c r="B49" s="43"/>
      <c r="C49" s="46"/>
      <c r="D49" s="13" t="s">
        <v>2</v>
      </c>
      <c r="E49" s="15"/>
      <c r="F49" s="13"/>
      <c r="G49" s="13"/>
      <c r="H49" s="15"/>
      <c r="I49" s="13"/>
      <c r="J49" s="43"/>
      <c r="K49" s="43"/>
    </row>
    <row r="50" spans="1:56" s="11" customFormat="1" ht="15" customHeight="1" x14ac:dyDescent="0.35">
      <c r="A50" s="1"/>
      <c r="B50" s="43"/>
      <c r="C50" s="47"/>
      <c r="D50" s="24" t="s">
        <v>27</v>
      </c>
      <c r="E50" s="25"/>
      <c r="F50" s="25"/>
      <c r="G50" s="24" t="s">
        <v>42</v>
      </c>
      <c r="H50" s="25"/>
      <c r="I50" s="48"/>
      <c r="J50" s="45"/>
      <c r="K50" s="45"/>
    </row>
    <row r="51" spans="1:56" s="1" customFormat="1" ht="15" customHeight="1" x14ac:dyDescent="0.25">
      <c r="B51" s="43"/>
      <c r="C51" s="47"/>
      <c r="D51" s="56" t="s">
        <v>44</v>
      </c>
      <c r="E51" s="27"/>
      <c r="F51" s="25"/>
      <c r="G51" s="55" t="s">
        <v>0</v>
      </c>
      <c r="H51" s="37">
        <f>IF(E20="Dirt (Offroad-Fahrwerk)",9,IF(E20="Querfeldein (Offroad-Fahrwerk)","MAX",(11-(6*MISC!C24*(E51/100+1)))+0.5))</f>
        <v>5.5</v>
      </c>
      <c r="I51" s="48"/>
      <c r="J51" s="43"/>
      <c r="K51" s="43"/>
    </row>
    <row r="52" spans="1:56" ht="15" customHeight="1" x14ac:dyDescent="0.25">
      <c r="B52" s="43"/>
      <c r="C52" s="47"/>
      <c r="D52" s="55" t="s">
        <v>0</v>
      </c>
      <c r="E52" s="38">
        <f>(((MISC!C7*(MISC!C11/100))*(MISC!C10/E7))*1.084)*MISC!C24*(E51/100+1)*(1-(E15*E15/8)/10)</f>
        <v>0</v>
      </c>
      <c r="F52" s="48"/>
      <c r="G52" s="55" t="s">
        <v>1</v>
      </c>
      <c r="H52" s="37">
        <f>IF(E20="Dirt (Offroad-Fahrwerk)",8,IF(E20="Querfeldein (Offroad-Fahrwerk)","MAX",11-(6*MISC!C24*(E51/100+1))))</f>
        <v>5</v>
      </c>
      <c r="I52" s="48"/>
      <c r="J52" s="43"/>
      <c r="K52" s="43"/>
    </row>
    <row r="53" spans="1:56" ht="15" customHeight="1" x14ac:dyDescent="0.25">
      <c r="B53" s="43"/>
      <c r="C53" s="47"/>
      <c r="D53" s="55" t="s">
        <v>1</v>
      </c>
      <c r="E53" s="38">
        <f>(((MISC!C7*(MISC!C12/100))*(MISC!C10/E7))*1.084)*MISC!C24*(E51/100+1)*(1+(E15*E15/8)/10)</f>
        <v>0</v>
      </c>
      <c r="F53" s="48"/>
      <c r="G53" s="48"/>
      <c r="H53" s="25"/>
      <c r="I53" s="48"/>
      <c r="J53" s="43"/>
      <c r="K53" s="43"/>
    </row>
    <row r="54" spans="1:56" s="1" customFormat="1" ht="15" customHeight="1" x14ac:dyDescent="0.25">
      <c r="B54" s="43"/>
      <c r="C54" s="47"/>
      <c r="D54" s="48"/>
      <c r="E54" s="25"/>
      <c r="F54" s="48"/>
      <c r="G54" s="48"/>
      <c r="H54" s="25"/>
      <c r="I54" s="48"/>
      <c r="J54" s="43"/>
      <c r="K54" s="43"/>
    </row>
    <row r="55" spans="1:56" ht="21" customHeight="1" x14ac:dyDescent="0.25">
      <c r="B55" s="45"/>
      <c r="C55" s="43"/>
      <c r="D55" s="44"/>
      <c r="E55" s="21"/>
      <c r="F55" s="44"/>
      <c r="G55" s="44"/>
      <c r="H55" s="21"/>
      <c r="I55" s="44"/>
      <c r="J55" s="43"/>
      <c r="K55" s="43"/>
    </row>
    <row r="56" spans="1:56" ht="15" customHeight="1" x14ac:dyDescent="0.35">
      <c r="A56" s="11"/>
      <c r="B56" s="43"/>
      <c r="C56" s="46"/>
      <c r="D56" s="13" t="s">
        <v>29</v>
      </c>
      <c r="E56" s="15"/>
      <c r="F56" s="13"/>
      <c r="G56" s="13"/>
      <c r="H56" s="15"/>
      <c r="I56" s="13"/>
      <c r="J56" s="43"/>
      <c r="K56" s="43"/>
    </row>
    <row r="57" spans="1:56" s="12" customFormat="1" ht="15" customHeight="1" x14ac:dyDescent="0.35">
      <c r="A57" s="1"/>
      <c r="B57" s="43"/>
      <c r="C57" s="47"/>
      <c r="D57" s="24" t="s">
        <v>28</v>
      </c>
      <c r="E57" s="25"/>
      <c r="F57" s="25"/>
      <c r="G57" s="24" t="s">
        <v>30</v>
      </c>
      <c r="H57" s="25"/>
      <c r="I57" s="48"/>
      <c r="J57" s="45"/>
      <c r="K57" s="45"/>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spans="1:56" s="1" customFormat="1" ht="15" customHeight="1" x14ac:dyDescent="0.25">
      <c r="B58" s="43"/>
      <c r="C58" s="47"/>
      <c r="D58" s="56" t="s">
        <v>44</v>
      </c>
      <c r="E58" s="27"/>
      <c r="F58" s="25"/>
      <c r="G58" s="56" t="s">
        <v>44</v>
      </c>
      <c r="H58" s="27"/>
      <c r="I58" s="48"/>
      <c r="J58" s="43"/>
      <c r="K58" s="43"/>
    </row>
    <row r="59" spans="1:56" ht="15" customHeight="1" x14ac:dyDescent="0.25">
      <c r="B59" s="45"/>
      <c r="C59" s="47"/>
      <c r="D59" s="55" t="s">
        <v>0</v>
      </c>
      <c r="E59" s="38">
        <f>((20*(MISC!C10/1500)*MISC!C11/100)*1.042)*MISC!E24*(E58/100+1)*(1-(E15*E15/8)/10)</f>
        <v>9.3474346666666666</v>
      </c>
      <c r="F59" s="25"/>
      <c r="G59" s="55" t="s">
        <v>0</v>
      </c>
      <c r="H59" s="38">
        <f>IF(E21="kein ABS",((20*(MISC!C10/1500)*MISC!C11/100)*1.042)*0.63*MISC!E24*(H58/100+1)*(1-(E15*E15/8)/10),IF(E21="ABS",((20*(MISC!C10/1500)*MISC!C11/100)*1.042)*0.63*MISC!E24*(H58/100+1)*(1-(E15*E15/8)/10),((20*(MISC!C10/1500)*MISC!C12/100)*1.042)*0.63*MISC!E24*(H58/100+1)*(1+(E15*E15/8)/10)))</f>
        <v>5.888883840000001</v>
      </c>
      <c r="I59" s="48"/>
      <c r="J59" s="43"/>
      <c r="K59" s="43"/>
    </row>
    <row r="60" spans="1:56" ht="15" customHeight="1" x14ac:dyDescent="0.35">
      <c r="A60" s="11"/>
      <c r="B60" s="43"/>
      <c r="C60" s="47"/>
      <c r="D60" s="57" t="s">
        <v>1</v>
      </c>
      <c r="E60" s="39">
        <f>((20*(MISC!C10/1500)*MISC!C12/100)*1.042)*MISC!E24*(E58/100+1)*(1+(E15*E15/8)/10)</f>
        <v>10.797898666666667</v>
      </c>
      <c r="F60" s="40"/>
      <c r="G60" s="57" t="s">
        <v>1</v>
      </c>
      <c r="H60" s="38">
        <f>IF(E21="kein ABS",((20*(MISC!C10/1500)*MISC!C12/100)*1.042)*0.63*MISC!E24*(H58/100+1)*(1+(E15*E15/8)/10),IF(E21="ABS",((20*(MISC!C10/1500)*MISC!C12/100)*1.042)*0.63*MISC!E24*(H58/100+1)*(1+(E15*E15/8)/10),((20*(MISC!C10/1500)*MISC!C11/100)*1.042)*0.63*MISC!E24*(H58/100+1)*(1-(E15*E15/8)/10)))</f>
        <v>6.8026761600000007</v>
      </c>
      <c r="I60" s="48"/>
      <c r="J60" s="43"/>
      <c r="K60" s="43"/>
    </row>
    <row r="61" spans="1:56" s="12" customFormat="1" ht="15" customHeight="1" x14ac:dyDescent="0.35">
      <c r="A61" s="1"/>
      <c r="B61" s="43"/>
      <c r="C61" s="47"/>
      <c r="D61" s="48"/>
      <c r="E61" s="25"/>
      <c r="F61" s="48"/>
      <c r="G61" s="48"/>
      <c r="H61" s="25"/>
      <c r="I61" s="48"/>
      <c r="J61" s="45"/>
      <c r="K61" s="45"/>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spans="1:56" ht="21" customHeight="1" x14ac:dyDescent="0.25">
      <c r="B62" s="43"/>
      <c r="C62" s="43"/>
      <c r="D62" s="44"/>
      <c r="E62" s="21"/>
      <c r="F62" s="44"/>
      <c r="G62" s="44"/>
      <c r="H62" s="21"/>
      <c r="I62" s="44"/>
      <c r="J62" s="43"/>
      <c r="K62" s="43"/>
    </row>
    <row r="63" spans="1:56" ht="15" customHeight="1" x14ac:dyDescent="0.25">
      <c r="B63" s="43"/>
      <c r="C63" s="46"/>
      <c r="D63" s="13" t="s">
        <v>11</v>
      </c>
      <c r="E63" s="15"/>
      <c r="F63" s="13"/>
      <c r="G63" s="13"/>
      <c r="H63" s="15"/>
      <c r="I63" s="13"/>
      <c r="J63" s="77"/>
      <c r="K63" s="43"/>
      <c r="M63" s="7"/>
      <c r="N63" s="7"/>
    </row>
    <row r="64" spans="1:56" ht="15" customHeight="1" x14ac:dyDescent="0.25">
      <c r="B64" s="43"/>
      <c r="C64" s="47"/>
      <c r="D64" s="24" t="s">
        <v>13</v>
      </c>
      <c r="E64" s="41">
        <f>IF(E21="kein ABS",MISC!C53,IF(E21="ABS",MISC!D53,MISC!E53))</f>
        <v>49.45</v>
      </c>
      <c r="F64" s="79"/>
      <c r="G64" s="24" t="s">
        <v>21</v>
      </c>
      <c r="H64" s="42">
        <f>IF(E21="kein ABS",MISC!C51,IF(E21="ABS",MISC!D51,MISC!E51))</f>
        <v>117.53733333333332</v>
      </c>
      <c r="I64" s="48"/>
      <c r="J64" s="43"/>
      <c r="K64" s="43"/>
    </row>
    <row r="65" spans="2:11" s="1" customFormat="1" ht="15" customHeight="1" x14ac:dyDescent="0.25">
      <c r="B65" s="43"/>
      <c r="C65" s="47"/>
      <c r="D65" s="48"/>
      <c r="E65" s="25"/>
      <c r="F65" s="48"/>
      <c r="G65" s="48"/>
      <c r="H65" s="25"/>
      <c r="I65" s="48"/>
      <c r="J65" s="43"/>
      <c r="K65" s="43"/>
    </row>
    <row r="66" spans="2:11" s="1" customFormat="1" ht="21" customHeight="1" x14ac:dyDescent="0.25">
      <c r="B66" s="43"/>
      <c r="C66" s="43"/>
      <c r="D66" s="44"/>
      <c r="E66" s="21"/>
      <c r="F66" s="44"/>
      <c r="G66" s="44"/>
      <c r="H66" s="21"/>
      <c r="I66" s="44"/>
      <c r="J66" s="43"/>
      <c r="K66" s="43"/>
    </row>
    <row r="67" spans="2:11" s="1" customFormat="1" ht="15" customHeight="1" x14ac:dyDescent="0.25">
      <c r="B67" s="43"/>
      <c r="C67" s="46"/>
      <c r="D67" s="13" t="s">
        <v>31</v>
      </c>
      <c r="E67" s="15"/>
      <c r="F67" s="13"/>
      <c r="G67" s="13"/>
      <c r="H67" s="15"/>
      <c r="I67" s="13"/>
      <c r="J67" s="43"/>
      <c r="K67" s="43"/>
    </row>
    <row r="68" spans="2:11" s="1" customFormat="1" ht="15" customHeight="1" x14ac:dyDescent="0.25">
      <c r="B68" s="43"/>
      <c r="C68" s="47"/>
      <c r="D68" s="24" t="str">
        <f>IF(H15="RWD","RWD",IF(H15="FWD","FWD","AWD"))</f>
        <v>RWD</v>
      </c>
      <c r="E68" s="24" t="s">
        <v>17</v>
      </c>
      <c r="F68" s="24" t="s">
        <v>18</v>
      </c>
      <c r="G68" s="47"/>
      <c r="H68" s="23"/>
      <c r="I68" s="47"/>
      <c r="J68" s="43"/>
      <c r="K68" s="43"/>
    </row>
    <row r="69" spans="2:11" s="1" customFormat="1" ht="15" customHeight="1" x14ac:dyDescent="0.25">
      <c r="B69" s="43"/>
      <c r="C69" s="47"/>
      <c r="D69" s="55" t="s">
        <v>19</v>
      </c>
      <c r="E69" s="78" t="str">
        <f>IF(H15="RWD","X",IF(H15="FWD",(E11/(E11+E12)*100)*((MISC!C11+100)/100)*0.785,(E12/(E11+E12)*100)*((MISC!C12+100)/100)*1.03*0.83))</f>
        <v>X</v>
      </c>
      <c r="F69" s="78">
        <f>IF(H15="RWD",(E12/(E11+E12)*100)*((MISC!C12+100)/100)*0.815,IF(H15="FWD","X",(E12/(E11+E12)*100)*((MISC!C12+100)/100)*1.03))</f>
        <v>61.124999999999993</v>
      </c>
      <c r="G69" s="47"/>
      <c r="H69" s="23"/>
      <c r="I69" s="47"/>
      <c r="J69" s="43"/>
      <c r="K69" s="43"/>
    </row>
    <row r="70" spans="2:11" s="1" customFormat="1" ht="15" customHeight="1" x14ac:dyDescent="0.25">
      <c r="B70" s="43"/>
      <c r="C70" s="47"/>
      <c r="D70" s="55" t="s">
        <v>20</v>
      </c>
      <c r="E70" s="80" t="str">
        <f>IF(H15="RWD","X",IF(H15="FWD",(E12/(E11+E12)*100)*0.1,(E12/(E11+E12)*100)*0.08))</f>
        <v>X</v>
      </c>
      <c r="F70" s="78">
        <f>IF(H15="RWD",(E12/(E11+E12)*100)*((MISC!C12+100)/100)*0.815*0.75,IF(H15="FWD","X",(E12/(E11+E12)*100)*((MISC!C12+100)/100)*1.03*0.75))</f>
        <v>45.843749999999993</v>
      </c>
      <c r="G70" s="47"/>
      <c r="H70" s="47"/>
      <c r="I70" s="47"/>
      <c r="J70" s="43"/>
      <c r="K70" s="43"/>
    </row>
    <row r="71" spans="2:11" s="1" customFormat="1" ht="15" customHeight="1" x14ac:dyDescent="0.25">
      <c r="B71" s="43"/>
      <c r="C71" s="47"/>
      <c r="D71" s="55" t="s">
        <v>13</v>
      </c>
      <c r="E71" s="82" t="str">
        <f>IF(H15="RWD","X",IF(H15="FWD","X",MISC!C4*(E12/(E11+E12)+100/100)))</f>
        <v>X</v>
      </c>
      <c r="F71" s="82"/>
      <c r="G71" s="47"/>
      <c r="H71" s="47"/>
      <c r="I71" s="47"/>
      <c r="J71" s="43"/>
      <c r="K71" s="43"/>
    </row>
    <row r="72" spans="2:11" s="1" customFormat="1" ht="15" customHeight="1" x14ac:dyDescent="0.25">
      <c r="C72" s="47"/>
      <c r="D72" s="48"/>
      <c r="E72" s="25"/>
      <c r="F72" s="25"/>
      <c r="G72" s="48"/>
      <c r="H72" s="25"/>
      <c r="I72" s="48"/>
    </row>
    <row r="73" spans="2:11" s="1" customFormat="1" ht="15" customHeight="1" x14ac:dyDescent="0.25"/>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3">
    <mergeCell ref="E20:G20"/>
    <mergeCell ref="E71:F71"/>
    <mergeCell ref="E21:G21"/>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MISC!$B$27:$B$35</xm:f>
          </x14:formula1>
          <xm:sqref>E26</xm:sqref>
        </x14:dataValidation>
        <x14:dataValidation type="list" allowBlank="1" showInputMessage="1" showErrorMessage="1" xr:uid="{A68EFA05-0EA4-4DB2-B19B-8CCAB98BE8B8}">
          <x14:formula1>
            <xm:f>MISC!$B$19:$B$23</xm:f>
          </x14:formula1>
          <xm:sqref>E20</xm:sqref>
        </x14:dataValidation>
        <x14:dataValidation type="list" allowBlank="1" showInputMessage="1" showErrorMessage="1" xr:uid="{65B74A54-9E51-45D0-A503-0721EC651214}">
          <x14:formula1>
            <xm:f>MISC!$C$48:$E$48</xm:f>
          </x14:formula1>
          <xm:sqref>E21:G21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2:F53"/>
  <sheetViews>
    <sheetView workbookViewId="0"/>
  </sheetViews>
  <sheetFormatPr baseColWidth="10" defaultRowHeight="15" x14ac:dyDescent="0.25"/>
  <cols>
    <col min="2" max="2" width="29.7109375" bestFit="1" customWidth="1"/>
    <col min="3" max="3" width="15.7109375" customWidth="1"/>
    <col min="4" max="4" width="20.5703125" customWidth="1"/>
    <col min="5" max="5" width="16.5703125" bestFit="1" customWidth="1"/>
  </cols>
  <sheetData>
    <row r="2" spans="2:4" x14ac:dyDescent="0.25">
      <c r="B2" s="17" t="s">
        <v>23</v>
      </c>
      <c r="C2" s="16"/>
    </row>
    <row r="3" spans="2:4" x14ac:dyDescent="0.25">
      <c r="B3" s="59" t="s">
        <v>0</v>
      </c>
      <c r="C3" s="75">
        <f>'CB Calculator'!E8</f>
        <v>50</v>
      </c>
    </row>
    <row r="4" spans="2:4" x14ac:dyDescent="0.25">
      <c r="B4" s="59" t="s">
        <v>1</v>
      </c>
      <c r="C4" s="76">
        <f>100-'CB Calculator'!E8</f>
        <v>50</v>
      </c>
    </row>
    <row r="6" spans="2:4" x14ac:dyDescent="0.25">
      <c r="B6" s="17" t="s">
        <v>50</v>
      </c>
      <c r="C6" s="16"/>
    </row>
    <row r="7" spans="2:4" x14ac:dyDescent="0.25">
      <c r="B7" s="59" t="s">
        <v>3</v>
      </c>
      <c r="C7" s="62">
        <f>('CB Calculator'!H8-'CB Calculator'!H7)</f>
        <v>0</v>
      </c>
    </row>
    <row r="9" spans="2:4" x14ac:dyDescent="0.25">
      <c r="B9" s="17" t="s">
        <v>47</v>
      </c>
      <c r="C9" s="16"/>
      <c r="D9" s="19"/>
    </row>
    <row r="10" spans="2:4" x14ac:dyDescent="0.25">
      <c r="B10" s="59" t="s">
        <v>4</v>
      </c>
      <c r="C10" s="66">
        <f>(('CB Calculator'!E7*('CB Calculator'!E8/100))+('CB Calculator'!H11*2.205/2.681))+(('CB Calculator'!E7*(MISC!C4/100))+('CB Calculator'!H12*2.205/2.681))</f>
        <v>1450</v>
      </c>
    </row>
    <row r="11" spans="2:4" x14ac:dyDescent="0.25">
      <c r="B11" s="59" t="s">
        <v>7</v>
      </c>
      <c r="C11" s="66">
        <f>('CB Calculator'!E7*('CB Calculator'!E8/100)+'CB Calculator'!H11*2.205/2.681)*100/C10</f>
        <v>50</v>
      </c>
    </row>
    <row r="12" spans="2:4" x14ac:dyDescent="0.25">
      <c r="B12" s="59" t="s">
        <v>8</v>
      </c>
      <c r="C12" s="66">
        <f>('CB Calculator'!E7*(MISC!C4/100)+'CB Calculator'!H12*2.205/2.681)*100/C10</f>
        <v>50</v>
      </c>
    </row>
    <row r="14" spans="2:4" x14ac:dyDescent="0.25">
      <c r="B14" s="10" t="s">
        <v>48</v>
      </c>
      <c r="C14" s="16"/>
      <c r="D14" s="16"/>
    </row>
    <row r="15" spans="2:4" x14ac:dyDescent="0.25">
      <c r="B15" s="59" t="s">
        <v>32</v>
      </c>
      <c r="C15" s="59" t="s">
        <v>33</v>
      </c>
      <c r="D15" s="59" t="s">
        <v>22</v>
      </c>
    </row>
    <row r="17" spans="2:5" x14ac:dyDescent="0.25">
      <c r="B17" s="17" t="s">
        <v>71</v>
      </c>
      <c r="C17" s="16"/>
      <c r="D17" s="16"/>
      <c r="E17" s="16"/>
    </row>
    <row r="18" spans="2:5" x14ac:dyDescent="0.25">
      <c r="B18" s="59" t="s">
        <v>72</v>
      </c>
      <c r="C18" s="62" t="s">
        <v>2</v>
      </c>
      <c r="D18" s="62" t="s">
        <v>73</v>
      </c>
      <c r="E18" s="62" t="s">
        <v>29</v>
      </c>
    </row>
    <row r="19" spans="2:5" x14ac:dyDescent="0.25">
      <c r="B19" s="69" t="s">
        <v>75</v>
      </c>
      <c r="C19" s="60">
        <v>1</v>
      </c>
      <c r="D19" s="60">
        <v>1</v>
      </c>
      <c r="E19" s="60">
        <v>1</v>
      </c>
    </row>
    <row r="20" spans="2:5" x14ac:dyDescent="0.25">
      <c r="B20" s="69" t="s">
        <v>76</v>
      </c>
      <c r="C20" s="60">
        <v>0.83299999999999996</v>
      </c>
      <c r="D20" s="60">
        <v>0.91649999999999998</v>
      </c>
      <c r="E20" s="60">
        <v>0.95825000000000005</v>
      </c>
    </row>
    <row r="21" spans="2:5" x14ac:dyDescent="0.25">
      <c r="B21" s="59" t="s">
        <v>77</v>
      </c>
      <c r="C21" s="60">
        <v>1.2502</v>
      </c>
      <c r="D21" s="60">
        <v>1.1250100000000001</v>
      </c>
      <c r="E21" s="60">
        <v>1.0625500000000001</v>
      </c>
    </row>
    <row r="22" spans="2:5" x14ac:dyDescent="0.25">
      <c r="B22" s="59" t="s">
        <v>78</v>
      </c>
      <c r="C22" s="60">
        <v>0.96</v>
      </c>
      <c r="D22" s="60">
        <v>0.84</v>
      </c>
      <c r="E22" s="60">
        <v>0.92</v>
      </c>
    </row>
    <row r="23" spans="2:5" x14ac:dyDescent="0.25">
      <c r="B23" s="59" t="s">
        <v>79</v>
      </c>
      <c r="C23" s="60">
        <v>0.88</v>
      </c>
      <c r="D23" s="60">
        <v>0.52</v>
      </c>
      <c r="E23" s="60">
        <v>0.76</v>
      </c>
    </row>
    <row r="24" spans="2:5" x14ac:dyDescent="0.25">
      <c r="B24" s="59" t="s">
        <v>74</v>
      </c>
      <c r="C24" s="60">
        <f>IF('CB Calculator'!E20="Asphalt (Rennfahrwerk - weich)",MISC!C20,IF('CB Calculator'!E20="Asphalt (Rennfahrwerk - hart)",C21,IF('CB Calculator'!E20="Dirt (Offroad-Fahrwerk)",C22,IF('CB Calculator'!E20="Querfeldein (Offroad-Fahrwerk)",C23,C19))))</f>
        <v>1</v>
      </c>
      <c r="D24" s="60">
        <f>IF('CB Calculator'!E20="Asphalt (Rennfahrwerk - weich)",MISC!D20,IF('CB Calculator'!E20="Asphalt (Rennfahrwerk - hart)",D21,IF('CB Calculator'!E20="Dirt (Offroad-Fahrwerk)",D22,IF('CB Calculator'!E20="Querfeldein (Offroad-Fahrwerk)",D23,D19))))</f>
        <v>1</v>
      </c>
      <c r="E24" s="60">
        <f>IF('CB Calculator'!E20="Asphalt (Rennfahrwerk - weich)",MISC!E20,IF('CB Calculator'!E20="Asphalt (Rennfahrwerk - hart)",E21,IF('CB Calculator'!E20="Dirt (Offroad-Fahrwerk)",E22,IF('CB Calculator'!E20="Querfeldein (Offroad-Fahrwerk)",E23,E19))))</f>
        <v>1</v>
      </c>
    </row>
    <row r="26" spans="2:5" x14ac:dyDescent="0.25">
      <c r="B26" s="17" t="s">
        <v>52</v>
      </c>
      <c r="C26" s="16"/>
    </row>
    <row r="27" spans="2:5" x14ac:dyDescent="0.25">
      <c r="B27" s="59" t="s">
        <v>59</v>
      </c>
      <c r="C27" s="63">
        <v>1</v>
      </c>
    </row>
    <row r="28" spans="2:5" x14ac:dyDescent="0.25">
      <c r="B28" s="59" t="s">
        <v>53</v>
      </c>
      <c r="C28" s="63">
        <v>0.97</v>
      </c>
    </row>
    <row r="29" spans="2:5" x14ac:dyDescent="0.25">
      <c r="B29" s="59" t="s">
        <v>60</v>
      </c>
      <c r="C29" s="63">
        <v>0.92</v>
      </c>
    </row>
    <row r="30" spans="2:5" x14ac:dyDescent="0.25">
      <c r="B30" s="59" t="s">
        <v>54</v>
      </c>
      <c r="C30" s="63">
        <v>0.89</v>
      </c>
    </row>
    <row r="31" spans="2:5" x14ac:dyDescent="0.25">
      <c r="B31" s="59" t="s">
        <v>55</v>
      </c>
      <c r="C31" s="63">
        <v>0.96</v>
      </c>
    </row>
    <row r="32" spans="2:5" x14ac:dyDescent="0.25">
      <c r="B32" s="59" t="s">
        <v>56</v>
      </c>
      <c r="C32" s="63">
        <v>0.95</v>
      </c>
    </row>
    <row r="33" spans="2:5" x14ac:dyDescent="0.25">
      <c r="B33" s="59" t="s">
        <v>57</v>
      </c>
      <c r="C33" s="63">
        <v>0.78</v>
      </c>
    </row>
    <row r="34" spans="2:5" x14ac:dyDescent="0.25">
      <c r="B34" s="59" t="s">
        <v>58</v>
      </c>
      <c r="C34" s="63">
        <v>0.96</v>
      </c>
    </row>
    <row r="35" spans="2:5" x14ac:dyDescent="0.25">
      <c r="B35" s="59" t="s">
        <v>61</v>
      </c>
      <c r="C35" s="63">
        <v>0.94</v>
      </c>
    </row>
    <row r="37" spans="2:5" x14ac:dyDescent="0.25">
      <c r="B37" s="17" t="s">
        <v>62</v>
      </c>
      <c r="C37" s="58" t="s">
        <v>67</v>
      </c>
      <c r="D37" s="58" t="s">
        <v>68</v>
      </c>
      <c r="E37" s="58" t="s">
        <v>64</v>
      </c>
    </row>
    <row r="38" spans="2:5" x14ac:dyDescent="0.25">
      <c r="B38" s="59" t="s">
        <v>65</v>
      </c>
      <c r="C38" s="59"/>
      <c r="D38" s="59"/>
      <c r="E38" s="60">
        <v>95</v>
      </c>
    </row>
    <row r="39" spans="2:5" x14ac:dyDescent="0.25">
      <c r="B39" s="59" t="s">
        <v>66</v>
      </c>
      <c r="C39" s="61">
        <f>E38*('CB Calculator'!E7/E39)</f>
        <v>98.392857142857153</v>
      </c>
      <c r="D39" s="61">
        <f>(C10/E39)</f>
        <v>1.0357142857142858</v>
      </c>
      <c r="E39" s="60">
        <v>1400</v>
      </c>
    </row>
    <row r="40" spans="2:5" x14ac:dyDescent="0.25">
      <c r="B40" s="59" t="s">
        <v>70</v>
      </c>
      <c r="C40" s="62">
        <f>(('CB Calculator'!E7*('CB Calculator'!E8/100)+('CB Calculator'!H11+'CB Calculator'!E7*('CB Calculator'!E8/100))))</f>
        <v>1450</v>
      </c>
      <c r="D40" s="62">
        <f>'CB Calculator'!E7*((100-'CB Calculator'!E8)/100)+('CB Calculator'!H12+'CB Calculator'!E7*((100-'CB Calculator'!E8)/100))</f>
        <v>1450</v>
      </c>
      <c r="E40" s="63"/>
    </row>
    <row r="41" spans="2:5" x14ac:dyDescent="0.25">
      <c r="B41" s="59" t="s">
        <v>69</v>
      </c>
      <c r="C41" s="64">
        <f>IF('CB Calculator'!H11&gt;0,MISC!C40/'CB Calculator'!E7,1)</f>
        <v>1</v>
      </c>
      <c r="D41" s="64">
        <f>IF('CB Calculator'!H12&gt;0,MISC!D40/'CB Calculator'!E7,1)</f>
        <v>1</v>
      </c>
      <c r="E41" s="63"/>
    </row>
    <row r="42" spans="2:5" x14ac:dyDescent="0.25">
      <c r="B42" s="59" t="s">
        <v>63</v>
      </c>
      <c r="C42" s="64">
        <f>'CB Calculator'!E8/100*('CB Calculator'!E11/('CB Calculator'!E11+'CB Calculator'!E12))</f>
        <v>0.25</v>
      </c>
      <c r="D42" s="64">
        <f>(100-'CB Calculator'!E8)/100*('CB Calculator'!E12/('CB Calculator'!E11+'CB Calculator'!E12))</f>
        <v>0.25</v>
      </c>
      <c r="E42" s="63"/>
    </row>
    <row r="43" spans="2:5" x14ac:dyDescent="0.25">
      <c r="B43" s="59" t="s">
        <v>25</v>
      </c>
      <c r="C43" s="65">
        <f>('CB Calculator'!E15*'CB Calculator'!E15)</f>
        <v>5.76</v>
      </c>
      <c r="D43" s="65">
        <f>('CB Calculator'!E15*'CB Calculator'!E15)</f>
        <v>5.76</v>
      </c>
      <c r="E43" s="60"/>
    </row>
    <row r="44" spans="2:5" x14ac:dyDescent="0.25">
      <c r="B44" s="59" t="s">
        <v>32</v>
      </c>
      <c r="C44" s="65">
        <f>(C39*C41)*C42-(C43/E44)</f>
        <v>21.855357142857144</v>
      </c>
      <c r="D44" s="65">
        <f>(C39*D41)*D42+(D43/E44)</f>
        <v>27.341071428571432</v>
      </c>
      <c r="E44" s="60">
        <v>2.1</v>
      </c>
    </row>
    <row r="45" spans="2:5" x14ac:dyDescent="0.25">
      <c r="B45" s="59" t="s">
        <v>33</v>
      </c>
      <c r="C45" s="65">
        <f>(C39*C41)*C42-(C43/E45)</f>
        <v>16.369642857142857</v>
      </c>
      <c r="D45" s="65">
        <f>(C39*D41)*D42+(D43/E45)</f>
        <v>32.82678571428572</v>
      </c>
      <c r="E45" s="60">
        <v>0.7</v>
      </c>
    </row>
    <row r="46" spans="2:5" x14ac:dyDescent="0.25">
      <c r="B46" s="59" t="s">
        <v>22</v>
      </c>
      <c r="C46" s="65">
        <f>(C39*C41)*C42-(C43/E46)</f>
        <v>19.361850649350654</v>
      </c>
      <c r="D46" s="65">
        <f>(C39*D41)*D42+(D43/E46)</f>
        <v>29.834577922077923</v>
      </c>
      <c r="E46" s="60">
        <v>1.1000000000000001</v>
      </c>
    </row>
    <row r="48" spans="2:5" x14ac:dyDescent="0.25">
      <c r="B48" s="73" t="s">
        <v>11</v>
      </c>
      <c r="C48" s="74" t="s">
        <v>80</v>
      </c>
      <c r="D48" s="74" t="s">
        <v>81</v>
      </c>
      <c r="E48" s="16" t="s">
        <v>87</v>
      </c>
    </row>
    <row r="49" spans="2:6" x14ac:dyDescent="0.25">
      <c r="B49" s="75" t="s">
        <v>25</v>
      </c>
      <c r="C49" s="75">
        <f>('CB Calculator'!E15*'CB Calculator'!E15)</f>
        <v>5.76</v>
      </c>
      <c r="D49" s="75">
        <f>('CB Calculator'!E15*'CB Calculator'!E15)</f>
        <v>5.76</v>
      </c>
      <c r="E49" s="75">
        <f>('CB Calculator'!E15*'CB Calculator'!E15)</f>
        <v>5.76</v>
      </c>
    </row>
    <row r="50" spans="2:6" x14ac:dyDescent="0.25">
      <c r="B50" s="75" t="s">
        <v>83</v>
      </c>
      <c r="C50" s="75">
        <v>0.8</v>
      </c>
      <c r="D50" s="75">
        <v>1.8</v>
      </c>
      <c r="E50" s="75">
        <v>1</v>
      </c>
      <c r="F50" s="6"/>
    </row>
    <row r="51" spans="2:6" x14ac:dyDescent="0.25">
      <c r="B51" s="75" t="s">
        <v>82</v>
      </c>
      <c r="C51" s="76">
        <f>(C10/300+90)*(('CB Calculator'!E15*'CB Calculator'!E15/2)/10+1)-C49*C50</f>
        <v>117.53733333333332</v>
      </c>
      <c r="D51" s="76">
        <f>(C10/300+90)*(('CB Calculator'!E15*'CB Calculator'!E15/2)/10+1)-D49*D50</f>
        <v>111.77733333333333</v>
      </c>
      <c r="E51" s="76">
        <f>(C10/300+90)*(('CB Calculator'!E15*'CB Calculator'!E15/2)/10+1)*E50</f>
        <v>122.14533333333333</v>
      </c>
    </row>
    <row r="52" spans="2:6" x14ac:dyDescent="0.25">
      <c r="B52" s="75" t="s">
        <v>85</v>
      </c>
      <c r="C52" s="75">
        <v>0.98899999999999999</v>
      </c>
      <c r="D52" s="75">
        <v>0.93</v>
      </c>
      <c r="E52" s="75">
        <v>1</v>
      </c>
    </row>
    <row r="53" spans="2:6" x14ac:dyDescent="0.25">
      <c r="B53" s="75" t="s">
        <v>84</v>
      </c>
      <c r="C53" s="76">
        <f>(100-((('CB Calculator'!E11*100/('CB Calculator'!E11+'CB Calculator'!E12))+C11)/2))*C52</f>
        <v>49.45</v>
      </c>
      <c r="D53" s="76">
        <f>(100-((('CB Calculator'!E11*100/('CB Calculator'!E11+'CB Calculator'!E12))+C11)/2))*D52</f>
        <v>46.5</v>
      </c>
      <c r="E53" s="76">
        <f>(100-((('CB Calculator'!E11*100/('CB Calculator'!E11+'CB Calculator'!E12))+C11)/2))*E52</f>
        <v>50</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2022-06-19T16:18:37Z</dcterms:modified>
  <cp:category/>
  <cp:contentStatus/>
</cp:coreProperties>
</file>