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4B0AECB6-6568-447A-9D1D-27C470D22F7B}" xr6:coauthVersionLast="47" xr6:coauthVersionMax="47" xr10:uidLastSave="{00000000-0000-0000-0000-000000000000}"/>
  <bookViews>
    <workbookView xWindow="-120" yWindow="-120" windowWidth="51840" windowHeight="21120" xr2:uid="{3ADF1A34-C029-4139-886D-6D5E288402E9}"/>
  </bookViews>
  <sheets>
    <sheet name="Calculator" sheetId="1" r:id="rId1"/>
    <sheet name="Werte" sheetId="2" r:id="rId2"/>
    <sheet name="Formeln"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1" i="2" l="1"/>
  <c r="D51" i="2"/>
  <c r="D52" i="2"/>
  <c r="F28" i="2"/>
  <c r="H45" i="1" l="1"/>
  <c r="D47" i="2"/>
  <c r="E41" i="3"/>
  <c r="D41" i="3"/>
  <c r="E11" i="3"/>
  <c r="D11" i="3"/>
  <c r="E17" i="3"/>
  <c r="E16" i="3"/>
  <c r="E15" i="3"/>
  <c r="E14" i="3"/>
  <c r="E13" i="3"/>
  <c r="E12" i="3"/>
  <c r="D17" i="3"/>
  <c r="D16" i="3"/>
  <c r="D15" i="3"/>
  <c r="D14" i="3"/>
  <c r="D13" i="3"/>
  <c r="D12" i="3"/>
  <c r="E10" i="3"/>
  <c r="D10" i="3"/>
  <c r="E83" i="2"/>
  <c r="E106" i="3" s="1"/>
  <c r="E107" i="3" s="1"/>
  <c r="E108" i="3" s="1"/>
  <c r="D83" i="2"/>
  <c r="D106" i="3" s="1"/>
  <c r="D107" i="3" s="1"/>
  <c r="D108" i="3" s="1"/>
  <c r="E77" i="2"/>
  <c r="E100" i="3" s="1"/>
  <c r="E101" i="3" s="1"/>
  <c r="E102" i="3" s="1"/>
  <c r="D77" i="2"/>
  <c r="D100" i="3" s="1"/>
  <c r="D101" i="3" s="1"/>
  <c r="D102" i="3" s="1"/>
  <c r="D72" i="2"/>
  <c r="D91" i="3" s="1"/>
  <c r="D92" i="3" s="1"/>
  <c r="H44" i="1"/>
  <c r="E52" i="2"/>
  <c r="E50" i="2"/>
  <c r="E63" i="3" s="1"/>
  <c r="D50" i="2"/>
  <c r="D63" i="3" s="1"/>
  <c r="E91" i="3" l="1"/>
  <c r="E92" i="3" s="1"/>
  <c r="E95" i="3" s="1"/>
  <c r="H57" i="1" s="1"/>
  <c r="D49" i="2" l="1"/>
  <c r="E45" i="3"/>
  <c r="D93" i="3" s="1"/>
  <c r="D45" i="3"/>
  <c r="E40" i="2"/>
  <c r="D40" i="2"/>
  <c r="D22" i="2"/>
  <c r="E23" i="3"/>
  <c r="D23" i="3"/>
  <c r="D4" i="2"/>
  <c r="D57" i="3" s="1"/>
  <c r="D58" i="3" s="1"/>
  <c r="D5" i="2"/>
  <c r="E33" i="3"/>
  <c r="F69" i="3"/>
  <c r="C61" i="1"/>
  <c r="D64" i="1" s="1"/>
  <c r="C33" i="1"/>
  <c r="E63" i="1" l="1"/>
  <c r="E62" i="1"/>
  <c r="D63" i="1"/>
  <c r="D62" i="1"/>
  <c r="D51" i="3"/>
  <c r="H25" i="1" s="1"/>
  <c r="E83" i="3"/>
  <c r="D83" i="3"/>
  <c r="E73" i="3"/>
  <c r="F83" i="3"/>
  <c r="G83" i="3"/>
  <c r="D73" i="3"/>
  <c r="D4" i="3"/>
  <c r="D5" i="3" s="1"/>
  <c r="F81" i="3"/>
  <c r="D81" i="3"/>
  <c r="G73" i="3"/>
  <c r="F73" i="3"/>
  <c r="E51" i="3"/>
  <c r="H26" i="1" s="1"/>
  <c r="E62" i="3"/>
  <c r="D62" i="3"/>
  <c r="D61" i="3"/>
  <c r="E61" i="3"/>
  <c r="D33" i="3"/>
  <c r="D22" i="3"/>
  <c r="E22" i="3" s="1"/>
  <c r="E24" i="3" s="1"/>
  <c r="E25" i="3" s="1"/>
  <c r="E84" i="3" s="1"/>
  <c r="E4" i="3" l="1"/>
  <c r="E81" i="3"/>
  <c r="E82" i="3" s="1"/>
  <c r="D82" i="3"/>
  <c r="E74" i="3"/>
  <c r="G84" i="3"/>
  <c r="F82" i="3"/>
  <c r="G81" i="3"/>
  <c r="G82" i="3" s="1"/>
  <c r="E35" i="3"/>
  <c r="G74" i="3"/>
  <c r="D24" i="3"/>
  <c r="D25" i="3" s="1"/>
  <c r="D84" i="3" s="1"/>
  <c r="D94" i="3" l="1"/>
  <c r="D95" i="3" s="1"/>
  <c r="D57" i="1" s="1"/>
  <c r="D110" i="3"/>
  <c r="E5" i="3"/>
  <c r="G85" i="3"/>
  <c r="G86" i="3" s="1"/>
  <c r="D74" i="3"/>
  <c r="F84" i="3"/>
  <c r="F85" i="3" s="1"/>
  <c r="F74" i="3"/>
  <c r="D85" i="3"/>
  <c r="D52" i="1" s="1"/>
  <c r="E85" i="3"/>
  <c r="D53" i="1" s="1"/>
  <c r="D35" i="3"/>
  <c r="D32" i="3"/>
  <c r="D58" i="2"/>
  <c r="D69" i="3"/>
  <c r="E86" i="3" l="1"/>
  <c r="H53" i="1" s="1"/>
  <c r="D86" i="3"/>
  <c r="H52" i="1" s="1"/>
  <c r="F86" i="3"/>
  <c r="D71" i="3"/>
  <c r="F71" i="3"/>
  <c r="D59" i="3" l="1"/>
  <c r="D60" i="3" s="1"/>
  <c r="D64" i="3" s="1"/>
  <c r="D36" i="1" s="1"/>
  <c r="D34" i="3"/>
  <c r="D36" i="3" s="1"/>
  <c r="D37" i="3" s="1"/>
  <c r="E71" i="3"/>
  <c r="D26" i="3"/>
  <c r="D50" i="3" s="1"/>
  <c r="D72" i="3"/>
  <c r="D75" i="3" s="1"/>
  <c r="D44" i="1" s="1"/>
  <c r="G71" i="3"/>
  <c r="G72" i="3" s="1"/>
  <c r="G75" i="3" s="1"/>
  <c r="F72" i="3"/>
  <c r="F75" i="3" s="1"/>
  <c r="E59" i="3" l="1"/>
  <c r="E60" i="3" s="1"/>
  <c r="E64" i="3" s="1"/>
  <c r="D37" i="1" s="1"/>
  <c r="D40" i="3"/>
  <c r="D42" i="3" s="1"/>
  <c r="D38" i="3"/>
  <c r="D39" i="3" s="1"/>
  <c r="H19" i="1"/>
  <c r="E34" i="3"/>
  <c r="E36" i="3" s="1"/>
  <c r="E37" i="3" s="1"/>
  <c r="E72" i="3"/>
  <c r="E75" i="3" s="1"/>
  <c r="D45" i="1" s="1"/>
  <c r="E26" i="3"/>
  <c r="E50" i="3" s="1"/>
  <c r="E27" i="3" l="1"/>
  <c r="H20" i="1"/>
  <c r="E38" i="3"/>
  <c r="E39" i="3" s="1"/>
  <c r="E40" i="3"/>
  <c r="E42" i="3" s="1"/>
  <c r="D43" i="3"/>
  <c r="D27" i="3"/>
  <c r="D52" i="3" l="1"/>
  <c r="D29" i="1" s="1"/>
  <c r="D26" i="1"/>
  <c r="E43" i="3"/>
  <c r="D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D4" authorId="0" shapeId="0" xr:uid="{987AF453-5687-4D1B-B704-71F0A9C4CCAD}">
      <text>
        <r>
          <rPr>
            <b/>
            <sz val="14"/>
            <color indexed="9"/>
            <rFont val="Segoe UI"/>
            <family val="2"/>
          </rPr>
          <t>Die Werte kannst du dir beim upgraden anzeigen lassen (Y) oder auch später bei "Meine Autos", indem du mit dem rechten Analogstick nach rechts drückst oder am PC "L" drücken.</t>
        </r>
      </text>
    </comment>
    <comment ref="H4" authorId="0" shapeId="0" xr:uid="{7776A43B-EEF1-4337-9492-06882468DE1E}">
      <text>
        <r>
          <rPr>
            <b/>
            <sz val="14"/>
            <color indexed="9"/>
            <rFont val="Segoe UI"/>
            <family val="2"/>
          </rPr>
          <t xml:space="preserve">Erhöhter Abtrieb vorne führt zu mehr Grip in schnellen Kurvenfahrten auf der Vorderachse und weniger untersteuern.  </t>
        </r>
      </text>
    </comment>
    <comment ref="D5" authorId="0" shapeId="0" xr:uid="{14A3FB02-BCBF-471D-952D-CA358B6DC0B4}">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5" authorId="0" shapeId="0" xr:uid="{0EBC43F3-E4B4-4F17-93D5-184D731D19F6}">
      <text>
        <r>
          <rPr>
            <b/>
            <sz val="14"/>
            <color indexed="9"/>
            <rFont val="Segoe UI"/>
            <family val="2"/>
          </rPr>
          <t xml:space="preserve">Erhöhter Abtrieb hinten führt zu mehr Grip in schnellen Kurvenfahrten auf der Hinterachse und weniger übersteuern.  </t>
        </r>
      </text>
    </comment>
    <comment ref="D8" authorId="0" shapeId="0" xr:uid="{E91ED878-D161-49C8-AEAD-76827ECF01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D9" authorId="0" shapeId="0" xr:uid="{67172A45-EA26-431D-AE76-E8EB017F6E00}">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D12" authorId="0" shapeId="0" xr:uid="{D366086F-F501-4F6F-86EA-4E4C110C6917}">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17" authorId="0" shapeId="0" xr:uid="{7EEFEFBF-15FA-43CB-8276-CC3CD431DB90}">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18" authorId="0" shapeId="0" xr:uid="{0356AF3D-015D-46CA-897A-A1483DD53C71}">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D34" authorId="0" shapeId="0" xr:uid="{B90A990F-899D-49EB-AC61-C53612F9EDD3}">
      <text>
        <r>
          <rPr>
            <b/>
            <sz val="14"/>
            <color indexed="9"/>
            <rFont val="Segoe UI"/>
            <family val="2"/>
          </rPr>
          <t xml:space="preserve">Du kannst die Stabilisatoren noch über den +-% Wert nachträglich härter oder weicher machen. z.B. 7, wären 7% härter oder -3, wären 3% weicher  </t>
        </r>
      </text>
    </comment>
    <comment ref="D35" authorId="0" shapeId="0" xr:uid="{6EFE51AA-5AA5-44A5-B39A-D9A27FFA3334}">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D42" authorId="0" shapeId="0" xr:uid="{BD2588ED-AA9E-4469-9E1D-B71EEAADCC71}">
      <text>
        <r>
          <rPr>
            <b/>
            <sz val="14"/>
            <color indexed="9"/>
            <rFont val="Segoe UI"/>
            <family val="2"/>
          </rPr>
          <t xml:space="preserve">Du kannst die Federn noch über den +-% Wert nachträglich härter oder weicher machen. z.B. 7, wären 7% härter oder -3, wären 3% weicher  </t>
        </r>
      </text>
    </comment>
    <comment ref="H44" authorId="0" shapeId="0" xr:uid="{6F5251EE-0C52-484C-9E19-00286BD152DD}">
      <text>
        <r>
          <rPr>
            <b/>
            <sz val="14"/>
            <color indexed="9"/>
            <rFont val="Segoe UI"/>
            <family val="2"/>
          </rPr>
          <t xml:space="preserve">      
          Regler nach ganz links und dann um die angezeigten Clicks erhöhen.  </t>
        </r>
      </text>
    </comment>
    <comment ref="H45" authorId="0" shapeId="0" xr:uid="{0A005AD6-FFAA-4557-B32E-E239E8EF88D2}">
      <text>
        <r>
          <rPr>
            <b/>
            <sz val="14"/>
            <color indexed="9"/>
            <rFont val="Segoe UI"/>
            <family val="2"/>
          </rPr>
          <t xml:space="preserve">
       Regler nach ganz links und dann um die angezeigten Clicks erhöhen.  </t>
        </r>
      </text>
    </comment>
    <comment ref="D50" authorId="0" shapeId="0" xr:uid="{B8D058BF-188E-49CC-9B55-BECB05F3DB5E}">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0" authorId="0" shapeId="0" xr:uid="{77D22900-F96D-4B0B-9A49-7BCF1DE7BAEC}">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<sst xmlns="http://schemas.openxmlformats.org/spreadsheetml/2006/main" count="253" uniqueCount="106">
  <si>
    <t>Gewicht</t>
  </si>
  <si>
    <t>Vorne</t>
  </si>
  <si>
    <t>Tuningwerte</t>
  </si>
  <si>
    <t>Gewicht in KG</t>
  </si>
  <si>
    <t>Vorne %</t>
  </si>
  <si>
    <t>Reifen</t>
  </si>
  <si>
    <t>Breite vorne</t>
  </si>
  <si>
    <t>Breite hinten</t>
  </si>
  <si>
    <t>Grip-Level</t>
  </si>
  <si>
    <t>Querbeschleunigung</t>
  </si>
  <si>
    <t>Aerodynamik</t>
  </si>
  <si>
    <t>Abtrieb vorne</t>
  </si>
  <si>
    <t>Abtrieb hinten</t>
  </si>
  <si>
    <t>Antriebsart</t>
  </si>
  <si>
    <t>Fahrwerk</t>
  </si>
  <si>
    <t>Federrate</t>
  </si>
  <si>
    <t>Wert</t>
  </si>
  <si>
    <t>Verteilung</t>
  </si>
  <si>
    <t>Reifenmischung</t>
  </si>
  <si>
    <t>Auswahl:</t>
  </si>
  <si>
    <t>Reifendruck</t>
  </si>
  <si>
    <t>Druck +-%</t>
  </si>
  <si>
    <t>Verhältnis +-%</t>
  </si>
  <si>
    <t>Hinten</t>
  </si>
  <si>
    <t>Straße</t>
  </si>
  <si>
    <t>Sport</t>
  </si>
  <si>
    <t>Slick</t>
  </si>
  <si>
    <t>Semi-Slick</t>
  </si>
  <si>
    <t>Drift</t>
  </si>
  <si>
    <t>Offroad</t>
  </si>
  <si>
    <t>Gelände</t>
  </si>
  <si>
    <t>Querbeschl.</t>
  </si>
  <si>
    <t>Ausrichtung</t>
  </si>
  <si>
    <t>Radsturz</t>
  </si>
  <si>
    <t>Vorne:</t>
  </si>
  <si>
    <t>Hinten:</t>
  </si>
  <si>
    <t>Vorderer Nachlauf</t>
  </si>
  <si>
    <t>Winkel:</t>
  </si>
  <si>
    <t>Spur</t>
  </si>
  <si>
    <t>Stabisilatoren</t>
  </si>
  <si>
    <t>Härte +-%</t>
  </si>
  <si>
    <t>Federn</t>
  </si>
  <si>
    <t>Fahrwerkshöhe</t>
  </si>
  <si>
    <t>Dämpfer</t>
  </si>
  <si>
    <t>Zugstufe</t>
  </si>
  <si>
    <t>Druckstufe</t>
  </si>
  <si>
    <t>Bremse</t>
  </si>
  <si>
    <t>Druck</t>
  </si>
  <si>
    <t>Differenzial</t>
  </si>
  <si>
    <t>Beschleunigung</t>
  </si>
  <si>
    <t>Verzögerung</t>
  </si>
  <si>
    <t>Gewichtsvert.</t>
  </si>
  <si>
    <t>Aero</t>
  </si>
  <si>
    <t>Gewichtsvert. + Aeoro</t>
  </si>
  <si>
    <t>Verteilung Multi</t>
  </si>
  <si>
    <t>Verteilung Neu</t>
  </si>
  <si>
    <t>Verteilung Breite</t>
  </si>
  <si>
    <t>Grundwert</t>
  </si>
  <si>
    <t>Druck + Aero</t>
  </si>
  <si>
    <t>Verteilung + Aero</t>
  </si>
  <si>
    <t>Sturz</t>
  </si>
  <si>
    <t>Nachlauf</t>
  </si>
  <si>
    <t>Stabilisatoren</t>
  </si>
  <si>
    <t>Reifenbreite Vert.</t>
  </si>
  <si>
    <t>Querbeschl. Vert.</t>
  </si>
  <si>
    <t>Querbeschl. Härte</t>
  </si>
  <si>
    <t>RWD</t>
  </si>
  <si>
    <t>AWD</t>
  </si>
  <si>
    <t>FWD</t>
  </si>
  <si>
    <t>Antrieb</t>
  </si>
  <si>
    <t>Abtrieb Multi</t>
  </si>
  <si>
    <t>Federwert</t>
  </si>
  <si>
    <t>Dämpferrate</t>
  </si>
  <si>
    <t>Dämpferrate Vert.</t>
  </si>
  <si>
    <t>Federrate Vert.</t>
  </si>
  <si>
    <t>Querb. Koeffizient</t>
  </si>
  <si>
    <t>Querb. Faktor</t>
  </si>
  <si>
    <t>Reifenverhältnis</t>
  </si>
  <si>
    <t>Gewichtsverteilung</t>
  </si>
  <si>
    <t>X</t>
  </si>
  <si>
    <t>AWD Vorne</t>
  </si>
  <si>
    <t>AWD Hinten</t>
  </si>
  <si>
    <t>Preset</t>
  </si>
  <si>
    <t>Diff. Verteilung</t>
  </si>
  <si>
    <t>Neutral</t>
  </si>
  <si>
    <t>Aggressiv</t>
  </si>
  <si>
    <t>Kürzen</t>
  </si>
  <si>
    <t>Clicks</t>
  </si>
  <si>
    <t>Einheit 10 = 15</t>
  </si>
  <si>
    <t>Härte + Verteilung</t>
  </si>
  <si>
    <t>Kürzen Nachkommast.</t>
  </si>
  <si>
    <t>Ergebnis + Clicks</t>
  </si>
  <si>
    <t>Offset Sturz</t>
  </si>
  <si>
    <t>Offset Nachlauf</t>
  </si>
  <si>
    <t>Ausgewählt</t>
  </si>
  <si>
    <t>Wert Begrenzung</t>
  </si>
  <si>
    <t>Wert Straße</t>
  </si>
  <si>
    <t>Wert Offroad</t>
  </si>
  <si>
    <t>Offset AWD Zug V</t>
  </si>
  <si>
    <t>Offset AWD Zug H</t>
  </si>
  <si>
    <t>Offset AWD Druck V</t>
  </si>
  <si>
    <t>Offset AWD Druck H</t>
  </si>
  <si>
    <t>Oldtimer-Renn-Reifen</t>
  </si>
  <si>
    <t>Oldtimer-Weißwandreifen</t>
  </si>
  <si>
    <t>v3.2</t>
  </si>
  <si>
    <t>Offset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</si>
</sst>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00"/>
  </numFmts>
  <fonts count="7" x14ac:knownFonts="1">
    <font>
      <sz val="11"/>
      <color theme="1"/>
      <name val="Calibri"/>
      <family val="2"/>
      <scheme val="minor"/>
    </font>
    <font>
      <b/>
      <sz val="11"/>
      <color theme="1"/>
      <name val="Calibri"/>
      <family val="2"/>
      <scheme val="minor"/>
    </font>
    <font>
      <i/>
      <sz val="16"/>
      <color theme="1"/>
      <name val="Calibri"/>
      <family val="2"/>
      <scheme val="minor"/>
    </font>
    <font>
      <sz val="11"/>
      <name val="Calibri"/>
      <family val="2"/>
      <scheme val="minor"/>
    </font>
    <font>
      <b/>
      <sz val="14"/>
      <color indexed="9"/>
      <name val="Segoe UI"/>
      <family val="2"/>
    </font>
    <font>
      <sz val="14"/>
      <color indexed="9"/>
      <name val="Segoe UI"/>
      <family val="2"/>
    </font>
    <font>
      <sz val="11"/>
      <name val="Calibri"/>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33CC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D9E1F2"/>
        <bgColor indexed="64"/>
      </patternFill>
    </fill>
    <fill>
      <patternFill patternType="solid">
        <fgColor rgb="FFE2EFDA"/>
        <bgColor indexed="64"/>
      </patternFill>
    </fill>
  </fills>
  <borders count="1">
    <border>
      <left/>
      <right/>
      <top/>
      <bottom/>
      <diagonal/>
    </border>
  </borders>
  <cellStyleXfs count="1">
    <xf numFmtId="0" fontId="0" fillId="0" borderId="0"/>
  </cellStyleXfs>
  <cellXfs count="53">
    <xf numFmtId="0" fontId="0" fillId="0" borderId="0" xfId="0"/>
    <xf numFmtId="0" fontId="0" fillId="2" borderId="0" xfId="0" applyFill="1"/>
    <xf numFmtId="0" fontId="0" fillId="3" borderId="0" xfId="0" applyFill="1"/>
    <xf numFmtId="0" fontId="1" fillId="3" borderId="0" xfId="0" applyFont="1" applyFill="1"/>
    <xf numFmtId="164" fontId="0" fillId="2" borderId="0" xfId="0" applyNumberFormat="1" applyFill="1"/>
    <xf numFmtId="0" fontId="2" fillId="3" borderId="0" xfId="0" applyFont="1" applyFill="1"/>
    <xf numFmtId="0" fontId="0" fillId="3" borderId="0" xfId="0" applyFill="1" applyAlignment="1">
      <alignment horizontal="center"/>
    </xf>
    <xf numFmtId="1" fontId="0" fillId="3" borderId="0" xfId="0" applyNumberFormat="1" applyFill="1" applyAlignment="1">
      <alignment horizontal="center"/>
    </xf>
    <xf numFmtId="0" fontId="1" fillId="3" borderId="0" xfId="0" applyFont="1" applyFill="1" applyAlignment="1">
      <alignment horizontal="right"/>
    </xf>
    <xf numFmtId="2" fontId="0" fillId="2" borderId="0" xfId="0" applyNumberFormat="1" applyFill="1"/>
    <xf numFmtId="2" fontId="0" fillId="3" borderId="0" xfId="0" applyNumberFormat="1" applyFill="1" applyAlignment="1">
      <alignment horizontal="center"/>
    </xf>
    <xf numFmtId="165" fontId="0" fillId="3" borderId="0" xfId="0" applyNumberFormat="1" applyFill="1" applyAlignment="1">
      <alignment horizontal="center"/>
    </xf>
    <xf numFmtId="164" fontId="0" fillId="3" borderId="0" xfId="0" applyNumberFormat="1" applyFill="1"/>
    <xf numFmtId="2" fontId="0" fillId="3" borderId="0" xfId="0" applyNumberFormat="1" applyFill="1"/>
    <xf numFmtId="166" fontId="0" fillId="3" borderId="0" xfId="0" applyNumberFormat="1" applyFill="1" applyAlignment="1">
      <alignment horizontal="center"/>
    </xf>
    <xf numFmtId="166" fontId="0" fillId="2" borderId="0" xfId="0" applyNumberFormat="1" applyFill="1"/>
    <xf numFmtId="0" fontId="0" fillId="3" borderId="0" xfId="0" applyFill="1" applyAlignment="1">
      <alignment vertical="center"/>
    </xf>
    <xf numFmtId="0" fontId="0" fillId="6" borderId="0" xfId="0" applyFill="1" applyAlignment="1">
      <alignment vertical="center"/>
    </xf>
    <xf numFmtId="165" fontId="0" fillId="8" borderId="0" xfId="0" applyNumberFormat="1" applyFill="1" applyAlignment="1">
      <alignment horizontal="center" vertical="center"/>
    </xf>
    <xf numFmtId="0" fontId="0" fillId="3" borderId="0" xfId="0" applyFill="1" applyAlignment="1">
      <alignment horizontal="center" vertical="center"/>
    </xf>
    <xf numFmtId="0" fontId="6" fillId="6" borderId="0" xfId="0" applyFont="1" applyFill="1" applyAlignment="1">
      <alignment vertical="center"/>
    </xf>
    <xf numFmtId="165" fontId="3" fillId="8" borderId="0" xfId="0" applyNumberFormat="1" applyFont="1" applyFill="1" applyAlignment="1">
      <alignment horizontal="center" vertical="center"/>
    </xf>
    <xf numFmtId="0" fontId="3" fillId="3" borderId="0" xfId="0" applyFont="1" applyFill="1" applyAlignment="1">
      <alignment horizontal="center" vertical="center"/>
    </xf>
    <xf numFmtId="0" fontId="0" fillId="2" borderId="0" xfId="0" applyFill="1" applyAlignment="1">
      <alignment vertical="center"/>
    </xf>
    <xf numFmtId="0" fontId="0" fillId="2" borderId="0" xfId="0" applyFill="1" applyAlignment="1">
      <alignment horizontal="center" vertical="center"/>
    </xf>
    <xf numFmtId="0" fontId="2" fillId="3" borderId="0" xfId="0" applyFont="1" applyFill="1" applyAlignment="1">
      <alignment vertical="center"/>
    </xf>
    <xf numFmtId="0" fontId="2" fillId="3" borderId="0" xfId="0" applyFont="1" applyFill="1" applyAlignment="1">
      <alignment horizontal="center" vertical="center"/>
    </xf>
    <xf numFmtId="0" fontId="1" fillId="4" borderId="0" xfId="0" applyFont="1" applyFill="1" applyAlignment="1">
      <alignment horizontal="center" vertical="center"/>
    </xf>
    <xf numFmtId="1" fontId="0" fillId="6" borderId="0" xfId="0" applyNumberFormat="1" applyFill="1" applyAlignment="1">
      <alignment horizontal="center" vertical="center"/>
    </xf>
    <xf numFmtId="1" fontId="0" fillId="3" borderId="0" xfId="0" applyNumberFormat="1" applyFill="1" applyAlignment="1">
      <alignment horizontal="center" vertical="center"/>
    </xf>
    <xf numFmtId="1" fontId="0" fillId="3" borderId="0" xfId="0" applyNumberFormat="1" applyFill="1" applyAlignment="1">
      <alignment vertical="center"/>
    </xf>
    <xf numFmtId="0" fontId="0" fillId="0" borderId="0" xfId="0" applyAlignment="1">
      <alignment vertical="center"/>
    </xf>
    <xf numFmtId="1" fontId="0" fillId="8" borderId="0" xfId="0" applyNumberFormat="1" applyFill="1" applyAlignment="1">
      <alignment horizontal="center" vertical="center"/>
    </xf>
    <xf numFmtId="165" fontId="0" fillId="6" borderId="0" xfId="0" applyNumberFormat="1" applyFill="1" applyAlignment="1">
      <alignment horizontal="center" vertical="center"/>
    </xf>
    <xf numFmtId="165" fontId="0" fillId="3" borderId="0" xfId="0" applyNumberFormat="1" applyFill="1" applyAlignment="1">
      <alignment horizontal="center" vertical="center"/>
    </xf>
    <xf numFmtId="0" fontId="0" fillId="2" borderId="0" xfId="0" applyFill="1" applyAlignment="1">
      <alignment horizontal="center"/>
    </xf>
    <xf numFmtId="0" fontId="0" fillId="6" borderId="0" xfId="0" applyFill="1"/>
    <xf numFmtId="2" fontId="0" fillId="6" borderId="0" xfId="0" applyNumberFormat="1" applyFill="1" applyAlignment="1">
      <alignment horizontal="center"/>
    </xf>
    <xf numFmtId="1" fontId="0" fillId="2" borderId="0" xfId="0" applyNumberFormat="1" applyFill="1" applyAlignment="1">
      <alignment horizontal="left"/>
    </xf>
    <xf numFmtId="164" fontId="0" fillId="2" borderId="0" xfId="0" applyNumberFormat="1" applyFill="1" applyAlignment="1">
      <alignment horizontal="left"/>
    </xf>
    <xf numFmtId="0" fontId="1" fillId="4" borderId="0" xfId="0" applyFont="1" applyFill="1"/>
    <xf numFmtId="165" fontId="0" fillId="6" borderId="0" xfId="0" applyNumberFormat="1" applyFill="1" applyAlignment="1">
      <alignment horizontal="center"/>
    </xf>
    <xf numFmtId="0" fontId="2" fillId="3" borderId="0" xfId="0" applyFont="1" applyFill="1" applyAlignment="1">
      <alignment horizontal="left" vertical="center"/>
    </xf>
    <xf numFmtId="0" fontId="1" fillId="3" borderId="0" xfId="0" applyFont="1" applyFill="1" applyAlignment="1">
      <alignment horizontal="center" vertical="center"/>
    </xf>
    <xf numFmtId="0" fontId="0" fillId="5" borderId="0" xfId="0" applyFill="1" applyAlignment="1" applyProtection="1">
      <alignment horizontal="center" vertical="center"/>
      <protection locked="0"/>
    </xf>
    <xf numFmtId="0" fontId="0" fillId="7" borderId="0" xfId="0" applyFill="1" applyAlignment="1" applyProtection="1">
      <alignment horizontal="center" vertical="center"/>
      <protection locked="0"/>
    </xf>
    <xf numFmtId="0" fontId="1" fillId="5" borderId="0" xfId="0" applyFont="1" applyFill="1" applyAlignment="1" applyProtection="1">
      <alignment horizontal="center"/>
      <protection locked="0"/>
    </xf>
    <xf numFmtId="0" fontId="0" fillId="5" borderId="0" xfId="0" applyFill="1" applyAlignment="1">
      <alignment horizontal="center" vertical="center"/>
    </xf>
    <xf numFmtId="0" fontId="1" fillId="3" borderId="0" xfId="0" applyFont="1" applyFill="1" applyAlignment="1">
      <alignment horizontal="left" vertical="center"/>
    </xf>
    <xf numFmtId="1" fontId="0" fillId="6" borderId="0" xfId="0" applyNumberFormat="1" applyFill="1" applyAlignment="1">
      <alignment horizontal="center" vertical="center"/>
    </xf>
    <xf numFmtId="0" fontId="1" fillId="5" borderId="0" xfId="0" applyFont="1" applyFill="1" applyAlignment="1" applyProtection="1">
      <alignment horizontal="center"/>
      <protection locked="0"/>
    </xf>
    <xf numFmtId="0" fontId="0" fillId="3" borderId="0" xfId="0" applyFill="1" applyAlignment="1">
      <alignment horizontal="center"/>
    </xf>
    <xf numFmtId="165" fontId="0" fillId="3" borderId="0" xfId="0" applyNumberFormat="1" applyFill="1" applyAlignment="1">
      <alignment horizontal="center"/>
    </xf>
  </cellXfs>
  <cellStyles count="1">
    <cellStyle name="Standard" xfId="0" builtinId="0"/>
  </cellStyles>
  <dxfs count="0"/>
  <tableStyles count="0" defaultTableStyle="TableStyleMedium2" defaultPivotStyle="PivotStyleLight16"/>
  <colors>
    <mruColors>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5AF01-E32B-41DB-9F63-D10ADC9E2E80}">
  <dimension ref="A1:K65"/>
  <sheetViews>
    <sheetView tabSelected="1" workbookViewId="0"/>
  </sheetViews>
  <sheetFormatPr baseColWidth="10" defaultRowHeight="15" x14ac:dyDescent="0.25"/>
  <cols>
    <col min="1" max="1" width="6.7109375" style="1" customWidth="1"/>
    <col min="2" max="2" width="3.7109375" style="1" customWidth="1"/>
    <col min="3" max="3" width="19.5703125" style="1" bestFit="1" customWidth="1"/>
    <col min="4" max="4" width="11.42578125" style="1" customWidth="1"/>
    <col min="5" max="5" width="11.42578125" style="1"/>
    <col min="6" max="6" width="3.7109375" style="1" customWidth="1"/>
    <col min="7" max="8" width="19.5703125" style="1" customWidth="1"/>
    <col min="9" max="9" width="3.7109375" style="1" customWidth="1"/>
    <col min="10" max="16384" width="11.42578125" style="1"/>
  </cols>
  <sheetData>
    <row r="1" spans="1:9" x14ac:dyDescent="0.25">
      <c r="A1" s="24" t="s">
        <v>104</v>
      </c>
    </row>
    <row r="2" spans="1:9" ht="21" x14ac:dyDescent="0.35">
      <c r="B2" s="2"/>
      <c r="C2" s="5" t="s">
        <v>2</v>
      </c>
      <c r="D2" s="2"/>
      <c r="E2" s="2"/>
      <c r="F2" s="2"/>
      <c r="G2" s="2"/>
      <c r="H2" s="2"/>
      <c r="I2" s="2"/>
    </row>
    <row r="3" spans="1:9" x14ac:dyDescent="0.25">
      <c r="B3" s="2"/>
      <c r="C3" s="40" t="s">
        <v>0</v>
      </c>
      <c r="D3" s="2"/>
      <c r="E3" s="2"/>
      <c r="F3" s="2"/>
      <c r="G3" s="40" t="s">
        <v>10</v>
      </c>
      <c r="H3" s="2"/>
      <c r="I3" s="2"/>
    </row>
    <row r="4" spans="1:9" x14ac:dyDescent="0.25">
      <c r="B4" s="2"/>
      <c r="C4" s="1" t="s">
        <v>3</v>
      </c>
      <c r="D4" s="44">
        <v>1450</v>
      </c>
      <c r="E4" s="2"/>
      <c r="F4" s="2"/>
      <c r="G4" s="1" t="s">
        <v>11</v>
      </c>
      <c r="H4" s="44"/>
      <c r="I4" s="2"/>
    </row>
    <row r="5" spans="1:9" x14ac:dyDescent="0.25">
      <c r="B5" s="2"/>
      <c r="C5" s="1" t="s">
        <v>4</v>
      </c>
      <c r="D5" s="45">
        <v>50</v>
      </c>
      <c r="E5" s="2"/>
      <c r="F5" s="2"/>
      <c r="G5" s="1" t="s">
        <v>12</v>
      </c>
      <c r="H5" s="44"/>
      <c r="I5" s="2"/>
    </row>
    <row r="6" spans="1:9" x14ac:dyDescent="0.25">
      <c r="B6" s="2"/>
      <c r="C6" s="2"/>
      <c r="D6" s="2"/>
      <c r="E6" s="2"/>
      <c r="F6" s="2"/>
      <c r="G6" s="2"/>
      <c r="H6" s="2"/>
      <c r="I6" s="2"/>
    </row>
    <row r="7" spans="1:9" x14ac:dyDescent="0.25">
      <c r="B7" s="2"/>
      <c r="C7" s="40" t="s">
        <v>5</v>
      </c>
      <c r="D7" s="2"/>
      <c r="E7" s="2"/>
      <c r="F7" s="2"/>
      <c r="G7" s="40" t="s">
        <v>14</v>
      </c>
      <c r="H7" s="2"/>
      <c r="I7" s="2"/>
    </row>
    <row r="8" spans="1:9" x14ac:dyDescent="0.25">
      <c r="B8" s="2"/>
      <c r="C8" s="1" t="s">
        <v>6</v>
      </c>
      <c r="D8" s="44">
        <v>235</v>
      </c>
      <c r="E8" s="2"/>
      <c r="F8" s="2"/>
      <c r="G8" s="1" t="s">
        <v>19</v>
      </c>
      <c r="H8" s="46" t="s">
        <v>24</v>
      </c>
      <c r="I8" s="2"/>
    </row>
    <row r="9" spans="1:9" x14ac:dyDescent="0.25">
      <c r="B9" s="2"/>
      <c r="C9" s="1" t="s">
        <v>7</v>
      </c>
      <c r="D9" s="44">
        <v>235</v>
      </c>
      <c r="E9" s="2"/>
      <c r="F9" s="2"/>
      <c r="G9" s="1" t="s">
        <v>82</v>
      </c>
      <c r="H9" s="46" t="s">
        <v>84</v>
      </c>
      <c r="I9" s="2"/>
    </row>
    <row r="10" spans="1:9" x14ac:dyDescent="0.25">
      <c r="B10" s="2"/>
      <c r="C10" s="2"/>
      <c r="D10" s="2"/>
      <c r="E10" s="2"/>
      <c r="F10" s="2"/>
      <c r="G10" s="2"/>
      <c r="H10" s="2"/>
      <c r="I10" s="2"/>
    </row>
    <row r="11" spans="1:9" x14ac:dyDescent="0.25">
      <c r="B11" s="2"/>
      <c r="C11" s="40" t="s">
        <v>8</v>
      </c>
      <c r="D11" s="2"/>
      <c r="E11" s="2"/>
      <c r="F11" s="2"/>
      <c r="G11" s="40" t="s">
        <v>13</v>
      </c>
      <c r="H11" s="2"/>
      <c r="I11" s="2"/>
    </row>
    <row r="12" spans="1:9" x14ac:dyDescent="0.25">
      <c r="B12" s="2"/>
      <c r="C12" s="1" t="s">
        <v>9</v>
      </c>
      <c r="D12" s="44">
        <v>1.7</v>
      </c>
      <c r="E12" s="2"/>
      <c r="F12" s="2"/>
      <c r="G12" s="1" t="s">
        <v>19</v>
      </c>
      <c r="H12" s="46" t="s">
        <v>66</v>
      </c>
      <c r="I12" s="2"/>
    </row>
    <row r="13" spans="1:9" x14ac:dyDescent="0.25">
      <c r="B13" s="2"/>
      <c r="C13" s="2"/>
      <c r="D13" s="2"/>
      <c r="E13" s="2"/>
      <c r="F13" s="2"/>
      <c r="G13" s="2"/>
      <c r="H13" s="2"/>
      <c r="I13" s="2"/>
    </row>
    <row r="15" spans="1:9" ht="21" x14ac:dyDescent="0.35">
      <c r="B15" s="2"/>
      <c r="C15" s="5" t="s">
        <v>5</v>
      </c>
      <c r="D15" s="2"/>
      <c r="E15" s="2"/>
      <c r="F15" s="2"/>
      <c r="G15" s="2"/>
      <c r="H15" s="2"/>
      <c r="I15" s="2"/>
    </row>
    <row r="16" spans="1:9" x14ac:dyDescent="0.25">
      <c r="B16" s="2"/>
      <c r="C16" s="40" t="s">
        <v>18</v>
      </c>
      <c r="D16" s="2"/>
      <c r="E16" s="2"/>
      <c r="F16" s="2"/>
      <c r="G16" s="40" t="s">
        <v>20</v>
      </c>
      <c r="H16" s="2"/>
      <c r="I16" s="2"/>
    </row>
    <row r="17" spans="2:11" x14ac:dyDescent="0.25">
      <c r="B17" s="2"/>
      <c r="C17" s="1" t="s">
        <v>19</v>
      </c>
      <c r="D17" s="50" t="s">
        <v>24</v>
      </c>
      <c r="E17" s="50"/>
      <c r="F17" s="2"/>
      <c r="G17" s="1" t="s">
        <v>21</v>
      </c>
      <c r="H17" s="44"/>
      <c r="I17" s="2"/>
    </row>
    <row r="18" spans="2:11" x14ac:dyDescent="0.25">
      <c r="B18" s="2"/>
      <c r="C18" s="2"/>
      <c r="D18" s="2"/>
      <c r="E18" s="2"/>
      <c r="F18" s="2"/>
      <c r="G18" s="1" t="s">
        <v>22</v>
      </c>
      <c r="H18" s="44"/>
      <c r="I18" s="2"/>
    </row>
    <row r="19" spans="2:11" x14ac:dyDescent="0.25">
      <c r="B19" s="2"/>
      <c r="C19" s="2"/>
      <c r="D19" s="2"/>
      <c r="E19" s="2"/>
      <c r="F19" s="2"/>
      <c r="G19" s="36" t="s">
        <v>1</v>
      </c>
      <c r="H19" s="37">
        <f>Formeln!D37*(H17/100+1)*(1+H18/100)*IF(H9="Neutral",1,Formeln!D10)</f>
        <v>2.2643296941176474</v>
      </c>
      <c r="I19" s="2"/>
      <c r="J19" s="38"/>
      <c r="K19" s="39"/>
    </row>
    <row r="20" spans="2:11" x14ac:dyDescent="0.25">
      <c r="B20" s="2"/>
      <c r="C20" s="2"/>
      <c r="D20" s="2"/>
      <c r="E20" s="2"/>
      <c r="F20" s="2"/>
      <c r="G20" s="36" t="s">
        <v>23</v>
      </c>
      <c r="H20" s="37">
        <f>Formeln!E37*(H17/100+1)*(1-H18/100)*IF(H9="Neutral",1,Formeln!E10)</f>
        <v>2.2643296941176474</v>
      </c>
      <c r="I20" s="2"/>
      <c r="J20" s="38"/>
      <c r="K20" s="39"/>
    </row>
    <row r="21" spans="2:11" x14ac:dyDescent="0.25">
      <c r="B21" s="2"/>
      <c r="C21" s="2"/>
      <c r="D21" s="2"/>
      <c r="E21" s="2"/>
      <c r="F21" s="2"/>
      <c r="G21" s="2"/>
      <c r="H21" s="2"/>
      <c r="I21" s="2"/>
    </row>
    <row r="23" spans="2:11" ht="21" x14ac:dyDescent="0.35">
      <c r="B23" s="2"/>
      <c r="C23" s="5" t="s">
        <v>32</v>
      </c>
      <c r="D23" s="2"/>
      <c r="E23" s="2"/>
      <c r="F23" s="2"/>
      <c r="G23" s="2"/>
      <c r="H23" s="2"/>
      <c r="I23" s="2"/>
    </row>
    <row r="24" spans="2:11" x14ac:dyDescent="0.25">
      <c r="B24" s="2"/>
      <c r="C24" s="40" t="s">
        <v>33</v>
      </c>
      <c r="D24" s="2"/>
      <c r="E24" s="2"/>
      <c r="F24" s="2"/>
      <c r="G24" s="40" t="s">
        <v>38</v>
      </c>
      <c r="H24" s="2"/>
      <c r="I24" s="2"/>
    </row>
    <row r="25" spans="2:11" x14ac:dyDescent="0.25">
      <c r="B25" s="2"/>
      <c r="C25" s="36" t="s">
        <v>34</v>
      </c>
      <c r="D25" s="41">
        <f>Formeln!D50</f>
        <v>-1.6875625000000003</v>
      </c>
      <c r="E25" s="6"/>
      <c r="F25" s="2"/>
      <c r="G25" s="36" t="s">
        <v>34</v>
      </c>
      <c r="H25" s="41">
        <f>IF(Formeln!D51&lt;0,0,Formeln!D51+IF(H9="Neutral",0,Formeln!D11))</f>
        <v>0</v>
      </c>
      <c r="I25" s="2"/>
    </row>
    <row r="26" spans="2:11" x14ac:dyDescent="0.25">
      <c r="B26" s="2"/>
      <c r="C26" s="36" t="s">
        <v>35</v>
      </c>
      <c r="D26" s="41">
        <f>Formeln!E50</f>
        <v>-1.4588062500000003</v>
      </c>
      <c r="E26" s="6"/>
      <c r="F26" s="2"/>
      <c r="G26" s="36" t="s">
        <v>35</v>
      </c>
      <c r="H26" s="41">
        <f>Formeln!E51+IF(H9="Neutral",0,Formeln!D11)</f>
        <v>-8.4090909090909119E-2</v>
      </c>
      <c r="I26" s="2"/>
    </row>
    <row r="27" spans="2:11" x14ac:dyDescent="0.25">
      <c r="B27" s="2"/>
      <c r="C27" s="2"/>
      <c r="D27" s="6"/>
      <c r="E27" s="6"/>
      <c r="F27" s="2"/>
      <c r="G27" s="2"/>
      <c r="H27" s="6"/>
      <c r="I27" s="2"/>
    </row>
    <row r="28" spans="2:11" x14ac:dyDescent="0.25">
      <c r="B28" s="2"/>
      <c r="C28" s="40" t="s">
        <v>36</v>
      </c>
      <c r="D28" s="6"/>
      <c r="E28" s="6"/>
      <c r="F28" s="2"/>
      <c r="G28" s="2"/>
      <c r="H28" s="6"/>
      <c r="I28" s="2"/>
    </row>
    <row r="29" spans="2:11" x14ac:dyDescent="0.25">
      <c r="B29" s="2"/>
      <c r="C29" s="36" t="s">
        <v>37</v>
      </c>
      <c r="D29" s="41">
        <f>Formeln!D52</f>
        <v>5.2972630840820303</v>
      </c>
      <c r="E29" s="6"/>
      <c r="F29" s="2"/>
      <c r="G29" s="2"/>
      <c r="H29" s="6"/>
      <c r="I29" s="2"/>
    </row>
    <row r="30" spans="2:11" x14ac:dyDescent="0.25">
      <c r="B30" s="2"/>
      <c r="C30" s="2"/>
      <c r="D30" s="6"/>
      <c r="E30" s="6"/>
      <c r="F30" s="2"/>
      <c r="G30" s="2"/>
      <c r="H30" s="6"/>
      <c r="I30" s="2"/>
    </row>
    <row r="31" spans="2:11" x14ac:dyDescent="0.25">
      <c r="D31" s="35"/>
      <c r="E31" s="35"/>
      <c r="H31" s="35"/>
    </row>
    <row r="32" spans="2:11" ht="21" x14ac:dyDescent="0.25">
      <c r="B32" s="25"/>
      <c r="C32" s="42" t="s">
        <v>39</v>
      </c>
      <c r="D32" s="26"/>
      <c r="E32" s="26"/>
      <c r="F32" s="2"/>
      <c r="G32" s="25"/>
      <c r="H32" s="26"/>
      <c r="I32" s="25"/>
    </row>
    <row r="33" spans="2:9" x14ac:dyDescent="0.25">
      <c r="B33" s="16"/>
      <c r="C33" s="27" t="str">
        <f>H12</f>
        <v>RWD</v>
      </c>
      <c r="D33" s="19"/>
      <c r="E33" s="19"/>
      <c r="F33" s="2"/>
      <c r="G33" s="43"/>
      <c r="H33" s="19"/>
      <c r="I33" s="16"/>
    </row>
    <row r="34" spans="2:9" x14ac:dyDescent="0.25">
      <c r="B34" s="16"/>
      <c r="C34" s="23" t="s">
        <v>40</v>
      </c>
      <c r="D34" s="44"/>
      <c r="E34" s="19"/>
      <c r="F34" s="2"/>
      <c r="G34" s="16"/>
      <c r="H34" s="19"/>
      <c r="I34" s="16"/>
    </row>
    <row r="35" spans="2:9" x14ac:dyDescent="0.25">
      <c r="B35" s="16"/>
      <c r="C35" s="23" t="s">
        <v>22</v>
      </c>
      <c r="D35" s="44"/>
      <c r="E35" s="19"/>
      <c r="F35" s="2"/>
      <c r="G35" s="16"/>
      <c r="H35" s="19"/>
      <c r="I35" s="16"/>
    </row>
    <row r="36" spans="2:9" x14ac:dyDescent="0.25">
      <c r="B36" s="16"/>
      <c r="C36" s="17" t="s">
        <v>34</v>
      </c>
      <c r="D36" s="33">
        <f>Formeln!D64*(D34/100+1)*(1+D35/100)*IF(H9="Neutral",1,Formeln!D12)</f>
        <v>21.952627561700002</v>
      </c>
      <c r="E36" s="19"/>
      <c r="F36" s="2"/>
      <c r="G36" s="16"/>
      <c r="H36" s="34"/>
      <c r="I36" s="16"/>
    </row>
    <row r="37" spans="2:9" x14ac:dyDescent="0.25">
      <c r="B37" s="16"/>
      <c r="C37" s="17" t="s">
        <v>35</v>
      </c>
      <c r="D37" s="33">
        <f>Formeln!E64*(D34/100+1)*(1-D35/100)*IF(H9="Neutral",1,Formeln!E12)</f>
        <v>28.759004194200006</v>
      </c>
      <c r="E37" s="19"/>
      <c r="F37" s="2"/>
      <c r="G37" s="16"/>
      <c r="H37" s="34"/>
      <c r="I37" s="16"/>
    </row>
    <row r="38" spans="2:9" x14ac:dyDescent="0.25">
      <c r="B38" s="16"/>
      <c r="C38" s="16"/>
      <c r="D38" s="19"/>
      <c r="E38" s="19"/>
      <c r="F38" s="2"/>
      <c r="G38" s="16"/>
      <c r="H38" s="19"/>
      <c r="I38" s="16"/>
    </row>
    <row r="39" spans="2:9" x14ac:dyDescent="0.25">
      <c r="D39" s="35"/>
      <c r="E39" s="35"/>
      <c r="H39" s="35"/>
    </row>
    <row r="40" spans="2:9" ht="21" x14ac:dyDescent="0.25">
      <c r="B40" s="25"/>
      <c r="C40" s="25" t="s">
        <v>41</v>
      </c>
      <c r="D40" s="26"/>
      <c r="E40" s="26"/>
      <c r="F40" s="2"/>
      <c r="G40" s="25"/>
      <c r="H40" s="26"/>
      <c r="I40" s="25"/>
    </row>
    <row r="41" spans="2:9" x14ac:dyDescent="0.25">
      <c r="B41" s="16"/>
      <c r="C41" s="27" t="s">
        <v>15</v>
      </c>
      <c r="D41" s="19"/>
      <c r="E41" s="19"/>
      <c r="F41" s="2"/>
      <c r="G41" s="2"/>
      <c r="H41" s="2"/>
      <c r="I41" s="16"/>
    </row>
    <row r="42" spans="2:9" x14ac:dyDescent="0.25">
      <c r="B42" s="16"/>
      <c r="C42" s="31" t="s">
        <v>40</v>
      </c>
      <c r="D42" s="45"/>
      <c r="E42" s="19"/>
      <c r="F42" s="2"/>
      <c r="G42" s="2"/>
      <c r="H42" s="2"/>
      <c r="I42" s="2"/>
    </row>
    <row r="43" spans="2:9" x14ac:dyDescent="0.25">
      <c r="B43" s="2"/>
      <c r="C43" s="1" t="s">
        <v>22</v>
      </c>
      <c r="D43" s="47"/>
      <c r="E43" s="2"/>
      <c r="F43" s="2"/>
      <c r="G43" s="27" t="s">
        <v>42</v>
      </c>
      <c r="H43" s="19"/>
      <c r="I43" s="16"/>
    </row>
    <row r="44" spans="2:9" x14ac:dyDescent="0.25">
      <c r="B44" s="16"/>
      <c r="C44" s="17" t="s">
        <v>34</v>
      </c>
      <c r="D44" s="18">
        <f>(IF(H8="Straße",Formeln!D75,Formeln!F75)*(D42/100+1)*IF(H9="Neutral",1,Formeln!D13))*1+D43/10</f>
        <v>121.22589440104134</v>
      </c>
      <c r="E44" s="19"/>
      <c r="F44" s="2"/>
      <c r="G44" s="17" t="s">
        <v>34</v>
      </c>
      <c r="H44" s="32">
        <f>IF(H8="Straße",6,"MAX")</f>
        <v>6</v>
      </c>
      <c r="I44" s="16"/>
    </row>
    <row r="45" spans="2:9" x14ac:dyDescent="0.25">
      <c r="B45" s="16"/>
      <c r="C45" s="17" t="s">
        <v>35</v>
      </c>
      <c r="D45" s="18">
        <f>(IF(H8="Straße",Formeln!E75,Formeln!G75)*(D42/100+1)*IF(H9="Neutral",1,Formeln!E13))*1-D43/10</f>
        <v>121.22589440104134</v>
      </c>
      <c r="E45" s="19"/>
      <c r="F45" s="2"/>
      <c r="G45" s="17" t="s">
        <v>35</v>
      </c>
      <c r="H45" s="32">
        <f>IF(H8="Straße",6,"MAX")</f>
        <v>6</v>
      </c>
      <c r="I45" s="16"/>
    </row>
    <row r="46" spans="2:9" x14ac:dyDescent="0.25">
      <c r="B46" s="16"/>
      <c r="C46" s="16"/>
      <c r="D46" s="19"/>
      <c r="E46" s="19"/>
      <c r="F46" s="2"/>
      <c r="G46" s="16"/>
      <c r="H46" s="19"/>
      <c r="I46" s="16"/>
    </row>
    <row r="47" spans="2:9" x14ac:dyDescent="0.25">
      <c r="B47" s="23"/>
      <c r="C47" s="23"/>
      <c r="D47" s="24"/>
      <c r="E47" s="24"/>
      <c r="G47" s="23"/>
      <c r="H47" s="24"/>
      <c r="I47" s="23"/>
    </row>
    <row r="48" spans="2:9" ht="21" x14ac:dyDescent="0.25">
      <c r="B48" s="25"/>
      <c r="C48" s="25" t="s">
        <v>43</v>
      </c>
      <c r="D48" s="26"/>
      <c r="E48" s="26"/>
      <c r="F48" s="2"/>
      <c r="G48" s="25"/>
      <c r="H48" s="26"/>
      <c r="I48" s="25"/>
    </row>
    <row r="49" spans="2:9" x14ac:dyDescent="0.25">
      <c r="B49" s="16"/>
      <c r="C49" s="27" t="s">
        <v>44</v>
      </c>
      <c r="D49" s="19"/>
      <c r="E49" s="19"/>
      <c r="F49" s="2"/>
      <c r="G49" s="27" t="s">
        <v>45</v>
      </c>
      <c r="H49" s="19"/>
      <c r="I49" s="16"/>
    </row>
    <row r="50" spans="2:9" x14ac:dyDescent="0.25">
      <c r="B50" s="16"/>
      <c r="C50" s="31" t="s">
        <v>40</v>
      </c>
      <c r="D50" s="45"/>
      <c r="E50" s="19"/>
      <c r="F50" s="2"/>
      <c r="G50" s="31" t="s">
        <v>40</v>
      </c>
      <c r="H50" s="45"/>
      <c r="I50" s="16"/>
    </row>
    <row r="51" spans="2:9" x14ac:dyDescent="0.25">
      <c r="B51" s="2"/>
      <c r="C51" s="1" t="s">
        <v>22</v>
      </c>
      <c r="D51" s="47"/>
      <c r="E51" s="2"/>
      <c r="F51" s="2"/>
      <c r="G51" s="1" t="s">
        <v>22</v>
      </c>
      <c r="H51" s="47"/>
      <c r="I51" s="2"/>
    </row>
    <row r="52" spans="2:9" x14ac:dyDescent="0.25">
      <c r="B52" s="16"/>
      <c r="C52" s="17" t="s">
        <v>34</v>
      </c>
      <c r="D52" s="18">
        <f>(IF(H8="Straße",Formeln!D85,Formeln!F85)*(D50/100+1)*IF(H9="Neutral",1,Formeln!D15))*IF(H12="AWD",Werte!D64,1)*1+D51/10</f>
        <v>10.202133333333334</v>
      </c>
      <c r="E52" s="19"/>
      <c r="F52" s="2"/>
      <c r="G52" s="17" t="s">
        <v>34</v>
      </c>
      <c r="H52" s="18">
        <f>(IF(H8="Straße",Formeln!D86,Formeln!F86)*(H50/100+1)*IF(H9="Neutral",1,Formeln!D16))*IF(H12="AWD",Werte!D66,1)*1+H51/10</f>
        <v>5.7131946666666673</v>
      </c>
      <c r="I52" s="16"/>
    </row>
    <row r="53" spans="2:9" x14ac:dyDescent="0.25">
      <c r="B53" s="16"/>
      <c r="C53" s="20" t="s">
        <v>35</v>
      </c>
      <c r="D53" s="21">
        <f>(IF(H8="Straße",Formeln!E85,Formeln!G85)*(D50/100+1)*IF(H9="Neutral",1,Formeln!E15))*IF(H12="AWD",Werte!D65,1)*1-D51/10</f>
        <v>10.202133333333334</v>
      </c>
      <c r="E53" s="22"/>
      <c r="F53" s="2"/>
      <c r="G53" s="20" t="s">
        <v>35</v>
      </c>
      <c r="H53" s="18">
        <f>(IF(H8="Straße",Formeln!E86,Formeln!G86)*(H50/100+1)*IF(H9="Neutral",1,Formeln!E16))*IF(H12="AWD",Werte!D67,1)*1-H51/10</f>
        <v>5.7131946666666673</v>
      </c>
      <c r="I53" s="16"/>
    </row>
    <row r="54" spans="2:9" x14ac:dyDescent="0.25">
      <c r="B54" s="16"/>
      <c r="C54" s="16"/>
      <c r="D54" s="19"/>
      <c r="E54" s="19"/>
      <c r="F54" s="2"/>
      <c r="G54" s="16"/>
      <c r="H54" s="19"/>
      <c r="I54" s="16"/>
    </row>
    <row r="55" spans="2:9" x14ac:dyDescent="0.25">
      <c r="B55" s="23"/>
      <c r="C55" s="23"/>
      <c r="D55" s="24"/>
      <c r="E55" s="24"/>
      <c r="G55" s="23"/>
      <c r="H55" s="24"/>
      <c r="I55" s="23"/>
    </row>
    <row r="56" spans="2:9" ht="21" x14ac:dyDescent="0.25">
      <c r="B56" s="25"/>
      <c r="C56" s="25" t="s">
        <v>46</v>
      </c>
      <c r="D56" s="26"/>
      <c r="E56" s="26"/>
      <c r="F56" s="2"/>
      <c r="G56" s="25"/>
      <c r="H56" s="26"/>
      <c r="I56" s="25"/>
    </row>
    <row r="57" spans="2:9" x14ac:dyDescent="0.25">
      <c r="B57" s="16"/>
      <c r="C57" s="27" t="s">
        <v>17</v>
      </c>
      <c r="D57" s="28">
        <f>Formeln!D95</f>
        <v>49.638750000000002</v>
      </c>
      <c r="E57" s="29"/>
      <c r="F57" s="2"/>
      <c r="G57" s="27" t="s">
        <v>47</v>
      </c>
      <c r="H57" s="28">
        <f>Formeln!E95</f>
        <v>100.83750000000001</v>
      </c>
      <c r="I57" s="16"/>
    </row>
    <row r="58" spans="2:9" x14ac:dyDescent="0.25">
      <c r="B58" s="16"/>
      <c r="C58" s="16"/>
      <c r="D58" s="19"/>
      <c r="E58" s="19"/>
      <c r="F58" s="2"/>
      <c r="G58" s="16"/>
      <c r="H58" s="19"/>
      <c r="I58" s="16"/>
    </row>
    <row r="59" spans="2:9" x14ac:dyDescent="0.25">
      <c r="B59" s="23"/>
      <c r="C59" s="23"/>
      <c r="D59" s="24"/>
      <c r="E59" s="24"/>
      <c r="G59" s="23"/>
      <c r="H59" s="24"/>
      <c r="I59" s="23"/>
    </row>
    <row r="60" spans="2:9" ht="21" x14ac:dyDescent="0.25">
      <c r="B60" s="25"/>
      <c r="C60" s="25" t="s">
        <v>48</v>
      </c>
      <c r="D60" s="26"/>
      <c r="E60" s="26"/>
      <c r="F60" s="2"/>
      <c r="G60" s="25"/>
      <c r="H60" s="26"/>
      <c r="I60" s="25"/>
    </row>
    <row r="61" spans="2:9" x14ac:dyDescent="0.25">
      <c r="B61" s="16"/>
      <c r="C61" s="27" t="str">
        <f>H12</f>
        <v>RWD</v>
      </c>
      <c r="D61" s="27" t="s">
        <v>1</v>
      </c>
      <c r="E61" s="27" t="s">
        <v>23</v>
      </c>
      <c r="F61" s="2"/>
      <c r="G61" s="16"/>
      <c r="H61" s="19"/>
      <c r="I61" s="16"/>
    </row>
    <row r="62" spans="2:9" x14ac:dyDescent="0.25">
      <c r="B62" s="16"/>
      <c r="C62" s="17" t="s">
        <v>49</v>
      </c>
      <c r="D62" s="28" t="str">
        <f>IF(C61="RWD","X",IF(C61="FWD",Formeln!E101,Formeln!D107))</f>
        <v>X</v>
      </c>
      <c r="E62" s="28">
        <f>IF(C61="RWD",Formeln!D101,IF(C61="FWD","X",Formeln!E107))</f>
        <v>41.176470588235297</v>
      </c>
      <c r="F62" s="2"/>
      <c r="G62" s="30"/>
      <c r="H62" s="29"/>
      <c r="I62" s="16"/>
    </row>
    <row r="63" spans="2:9" x14ac:dyDescent="0.25">
      <c r="B63" s="16"/>
      <c r="C63" s="17" t="s">
        <v>50</v>
      </c>
      <c r="D63" s="28" t="str">
        <f>IF(C61="RWD","X",IF(C61="FWD",Formeln!E102,Formeln!D108))</f>
        <v>X</v>
      </c>
      <c r="E63" s="28">
        <f>IF(C61="RWD",Formeln!D102,IF(C61="FWD","X",Formeln!E108))</f>
        <v>53.117647058823536</v>
      </c>
      <c r="F63" s="2"/>
      <c r="G63" s="30"/>
      <c r="H63" s="16"/>
      <c r="I63" s="16"/>
    </row>
    <row r="64" spans="2:9" x14ac:dyDescent="0.25">
      <c r="B64" s="16"/>
      <c r="C64" s="17" t="s">
        <v>17</v>
      </c>
      <c r="D64" s="49" t="str">
        <f>IF(C61="AWD",IF(Formeln!D110&lt;50,50,Formeln!D110*IF(H9="Neutral",1,Formeln!E17)),"X")</f>
        <v>X</v>
      </c>
      <c r="E64" s="49"/>
      <c r="F64" s="2"/>
      <c r="G64" s="16"/>
      <c r="H64" s="16"/>
      <c r="I64" s="16"/>
    </row>
    <row r="65" spans="2:9" x14ac:dyDescent="0.25">
      <c r="B65" s="16"/>
      <c r="C65" s="16"/>
      <c r="D65" s="19"/>
      <c r="E65" s="19"/>
      <c r="F65" s="2"/>
      <c r="G65" s="16"/>
      <c r="H65" s="19"/>
      <c r="I65" s="16"/>
    </row>
  </sheetData>
  <mergeCells count="2">
    <mergeCell ref="D64:E64"/>
    <mergeCell ref="D17:E17"/>
  </mergeCells>
  <pageMargins left="0.7" right="0.7" top="0.78740157499999996" bottom="0.78740157499999996"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0026B31-C7ED-4343-9348-BAC326D1B129}">
          <x14:formula1>
            <xm:f>Werte!$D$9:$E$9</xm:f>
          </x14:formula1>
          <xm:sqref>H9</xm:sqref>
        </x14:dataValidation>
        <x14:dataValidation type="list" allowBlank="1" showInputMessage="1" showErrorMessage="1" xr:uid="{43D6AD04-2AFC-42E3-BBD8-5421D867CD30}">
          <x14:formula1>
            <xm:f>Werte!$C$27:$C$35</xm:f>
          </x14:formula1>
          <xm:sqref>D17</xm:sqref>
        </x14:dataValidation>
        <x14:dataValidation type="list" allowBlank="1" showInputMessage="1" showErrorMessage="1" xr:uid="{B58ED5F4-1675-4BF3-B7F7-D567E5E7D355}">
          <x14:formula1>
            <xm:f>Werte!$C$50:$C$52</xm:f>
          </x14:formula1>
          <xm:sqref>H12</xm:sqref>
        </x14:dataValidation>
        <x14:dataValidation type="list" allowBlank="1" showInputMessage="1" showErrorMessage="1" xr:uid="{ECD67911-5B66-4F3E-9CDB-FC9521A46280}">
          <x14:formula1>
            <xm:f>Werte!$D$56:$E$56</xm:f>
          </x14:formula1>
          <xm:sqref>H8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79E75-DE97-4C33-8097-4ACCD4C35B3E}">
  <dimension ref="B2:H88"/>
  <sheetViews>
    <sheetView workbookViewId="0"/>
  </sheetViews>
  <sheetFormatPr baseColWidth="10" defaultRowHeight="15" x14ac:dyDescent="0.25"/>
  <cols>
    <col min="1" max="1" width="6.7109375" style="1" customWidth="1"/>
    <col min="2" max="2" width="3.7109375" style="1" customWidth="1"/>
    <col min="3" max="3" width="25.140625" style="1" bestFit="1" customWidth="1"/>
    <col min="4" max="5" width="12" style="1" bestFit="1" customWidth="1"/>
    <col min="6" max="6" width="11.42578125" style="1"/>
    <col min="7" max="7" width="3.7109375" style="1" customWidth="1"/>
    <col min="8" max="16384" width="11.42578125" style="1"/>
  </cols>
  <sheetData>
    <row r="2" spans="2:8" ht="21" x14ac:dyDescent="0.35">
      <c r="B2" s="2"/>
      <c r="C2" s="5" t="s">
        <v>0</v>
      </c>
      <c r="D2" s="2"/>
      <c r="E2" s="2"/>
      <c r="F2" s="2"/>
      <c r="G2" s="2"/>
    </row>
    <row r="3" spans="2:8" x14ac:dyDescent="0.25">
      <c r="B3" s="2"/>
      <c r="C3" s="2"/>
      <c r="D3" s="2"/>
      <c r="E3" s="2"/>
      <c r="F3" s="2"/>
      <c r="G3" s="2"/>
    </row>
    <row r="4" spans="2:8" x14ac:dyDescent="0.25">
      <c r="B4" s="2"/>
      <c r="C4" s="3" t="s">
        <v>0</v>
      </c>
      <c r="D4" s="6">
        <f>Calculator!D4</f>
        <v>1450</v>
      </c>
      <c r="E4" s="2"/>
      <c r="F4" s="2"/>
      <c r="G4" s="2"/>
    </row>
    <row r="5" spans="2:8" x14ac:dyDescent="0.25">
      <c r="B5" s="2"/>
      <c r="C5" s="3" t="s">
        <v>17</v>
      </c>
      <c r="D5" s="6">
        <f>Calculator!D5</f>
        <v>50</v>
      </c>
      <c r="E5" s="2"/>
      <c r="F5" s="2"/>
      <c r="G5" s="2"/>
    </row>
    <row r="6" spans="2:8" x14ac:dyDescent="0.25">
      <c r="B6" s="2"/>
      <c r="C6" s="2"/>
      <c r="D6" s="2"/>
      <c r="E6" s="2"/>
      <c r="F6" s="2"/>
      <c r="G6" s="2"/>
    </row>
    <row r="7" spans="2:8" x14ac:dyDescent="0.25">
      <c r="B7" s="2"/>
      <c r="C7" s="2"/>
      <c r="D7" s="2"/>
      <c r="E7" s="2"/>
      <c r="F7" s="2"/>
      <c r="G7" s="2"/>
    </row>
    <row r="8" spans="2:8" ht="21" x14ac:dyDescent="0.35">
      <c r="B8" s="2"/>
      <c r="C8" s="5" t="s">
        <v>82</v>
      </c>
      <c r="D8" s="2"/>
      <c r="E8" s="2"/>
      <c r="F8" s="2"/>
      <c r="G8" s="2"/>
    </row>
    <row r="9" spans="2:8" x14ac:dyDescent="0.25">
      <c r="B9" s="2"/>
      <c r="C9" s="2"/>
      <c r="D9" s="6" t="s">
        <v>84</v>
      </c>
      <c r="E9" s="6" t="s">
        <v>85</v>
      </c>
      <c r="F9" s="2"/>
      <c r="G9" s="2"/>
    </row>
    <row r="10" spans="2:8" x14ac:dyDescent="0.25">
      <c r="B10" s="2"/>
      <c r="C10" s="3" t="s">
        <v>20</v>
      </c>
      <c r="D10" s="6">
        <v>1</v>
      </c>
      <c r="E10" s="6">
        <v>2.5</v>
      </c>
      <c r="F10" s="2"/>
      <c r="G10" s="2"/>
      <c r="H10" s="4"/>
    </row>
    <row r="11" spans="2:8" x14ac:dyDescent="0.25">
      <c r="B11" s="2"/>
      <c r="C11" s="3" t="s">
        <v>38</v>
      </c>
      <c r="D11" s="6">
        <v>1</v>
      </c>
      <c r="E11" s="6">
        <v>1.7</v>
      </c>
      <c r="F11" s="2"/>
      <c r="G11" s="2"/>
      <c r="H11" s="4"/>
    </row>
    <row r="12" spans="2:8" x14ac:dyDescent="0.25">
      <c r="B12" s="2"/>
      <c r="C12" s="3" t="s">
        <v>62</v>
      </c>
      <c r="D12" s="6">
        <v>1</v>
      </c>
      <c r="E12" s="6">
        <v>11</v>
      </c>
      <c r="F12" s="2"/>
      <c r="G12" s="2"/>
      <c r="H12" s="4"/>
    </row>
    <row r="13" spans="2:8" x14ac:dyDescent="0.25">
      <c r="B13" s="2"/>
      <c r="C13" s="3" t="s">
        <v>15</v>
      </c>
      <c r="D13" s="6">
        <v>1</v>
      </c>
      <c r="E13" s="6">
        <v>2</v>
      </c>
      <c r="F13" s="2"/>
      <c r="G13" s="2"/>
    </row>
    <row r="14" spans="2:8" x14ac:dyDescent="0.25">
      <c r="B14" s="2"/>
      <c r="C14" s="3" t="s">
        <v>42</v>
      </c>
      <c r="D14" s="6">
        <v>1</v>
      </c>
      <c r="E14" s="6">
        <v>1</v>
      </c>
      <c r="F14" s="2"/>
      <c r="G14" s="2"/>
    </row>
    <row r="15" spans="2:8" x14ac:dyDescent="0.25">
      <c r="B15" s="2"/>
      <c r="C15" s="3" t="s">
        <v>44</v>
      </c>
      <c r="D15" s="6">
        <v>1</v>
      </c>
      <c r="E15" s="6">
        <v>2</v>
      </c>
      <c r="F15" s="2"/>
      <c r="G15" s="2"/>
    </row>
    <row r="16" spans="2:8" x14ac:dyDescent="0.25">
      <c r="B16" s="2"/>
      <c r="C16" s="3" t="s">
        <v>45</v>
      </c>
      <c r="D16" s="6">
        <v>1</v>
      </c>
      <c r="E16" s="6">
        <v>2</v>
      </c>
      <c r="F16" s="2"/>
      <c r="G16" s="2"/>
    </row>
    <row r="17" spans="2:7" x14ac:dyDescent="0.25">
      <c r="B17" s="2"/>
      <c r="C17" s="3" t="s">
        <v>83</v>
      </c>
      <c r="D17" s="6">
        <v>1</v>
      </c>
      <c r="E17" s="6">
        <v>5</v>
      </c>
      <c r="F17" s="2"/>
      <c r="G17" s="2"/>
    </row>
    <row r="18" spans="2:7" x14ac:dyDescent="0.25">
      <c r="B18" s="2"/>
      <c r="C18" s="2"/>
      <c r="D18" s="2"/>
      <c r="E18" s="2"/>
      <c r="F18" s="2"/>
      <c r="G18" s="2"/>
    </row>
    <row r="19" spans="2:7" x14ac:dyDescent="0.25">
      <c r="B19" s="2"/>
      <c r="C19" s="2"/>
      <c r="D19" s="2"/>
      <c r="E19" s="2"/>
      <c r="F19" s="2"/>
      <c r="G19" s="2"/>
    </row>
    <row r="20" spans="2:7" ht="21" x14ac:dyDescent="0.35">
      <c r="B20" s="2"/>
      <c r="C20" s="5" t="s">
        <v>8</v>
      </c>
      <c r="D20" s="2"/>
      <c r="E20" s="2"/>
      <c r="F20" s="2"/>
      <c r="G20" s="2"/>
    </row>
    <row r="21" spans="2:7" x14ac:dyDescent="0.25">
      <c r="B21" s="2"/>
      <c r="C21" s="6"/>
      <c r="D21" s="6" t="s">
        <v>16</v>
      </c>
      <c r="E21" s="2"/>
      <c r="F21" s="2"/>
      <c r="G21" s="12"/>
    </row>
    <row r="22" spans="2:7" x14ac:dyDescent="0.25">
      <c r="B22" s="2"/>
      <c r="C22" s="3" t="s">
        <v>31</v>
      </c>
      <c r="D22" s="6">
        <f>Calculator!D12</f>
        <v>1.7</v>
      </c>
      <c r="E22" s="2"/>
      <c r="F22" s="2"/>
      <c r="G22" s="13"/>
    </row>
    <row r="23" spans="2:7" x14ac:dyDescent="0.25">
      <c r="B23" s="2"/>
      <c r="C23" s="2"/>
      <c r="D23" s="2"/>
      <c r="E23" s="2"/>
      <c r="F23" s="2"/>
      <c r="G23" s="13"/>
    </row>
    <row r="24" spans="2:7" x14ac:dyDescent="0.25">
      <c r="B24" s="2"/>
      <c r="C24" s="2"/>
      <c r="D24" s="2"/>
      <c r="E24" s="2"/>
      <c r="F24" s="2"/>
      <c r="G24" s="2"/>
    </row>
    <row r="25" spans="2:7" ht="21" x14ac:dyDescent="0.35">
      <c r="B25" s="2"/>
      <c r="C25" s="5" t="s">
        <v>5</v>
      </c>
      <c r="D25" s="2"/>
      <c r="E25" s="2"/>
      <c r="F25" s="2"/>
      <c r="G25" s="2"/>
    </row>
    <row r="26" spans="2:7" x14ac:dyDescent="0.25">
      <c r="B26" s="2"/>
      <c r="C26" s="2"/>
      <c r="D26" s="6" t="s">
        <v>16</v>
      </c>
      <c r="E26" s="2"/>
      <c r="F26" s="2"/>
      <c r="G26" s="2"/>
    </row>
    <row r="27" spans="2:7" x14ac:dyDescent="0.25">
      <c r="B27" s="2"/>
      <c r="C27" s="3" t="s">
        <v>24</v>
      </c>
      <c r="D27" s="6">
        <v>1.9104000000000001</v>
      </c>
      <c r="E27" s="8" t="s">
        <v>57</v>
      </c>
      <c r="F27" s="6">
        <v>4</v>
      </c>
      <c r="G27" s="2"/>
    </row>
    <row r="28" spans="2:7" x14ac:dyDescent="0.25">
      <c r="B28" s="2"/>
      <c r="C28" s="3" t="s">
        <v>25</v>
      </c>
      <c r="D28" s="6">
        <v>1.8912</v>
      </c>
      <c r="E28" s="8" t="s">
        <v>94</v>
      </c>
      <c r="F28" s="6">
        <f>IF(Calculator!D17="Straße",D27,
IF(Calculator!D17="Sport",D28,
IF(Calculator!D17="Semi-Slick",D29,
IF(Calculator!D17="Slick",D30,
IF(Calculator!D17="Drift",D31,
IF(Calculator!D17="Offroad",D32,
IF(Calculator!D17="Gelände",D33,
IF(Calculator!D17="Oldtimer-Renn-Reifen",D34,
IF(Calculator!D17="Oldtimer-Weißwandreifen",D35,
)))))))))</f>
        <v>1.9104000000000001</v>
      </c>
      <c r="G28" s="2"/>
    </row>
    <row r="29" spans="2:7" x14ac:dyDescent="0.25">
      <c r="B29" s="2"/>
      <c r="C29" s="3" t="s">
        <v>27</v>
      </c>
      <c r="D29" s="6">
        <v>1.8528</v>
      </c>
      <c r="E29" s="8" t="s">
        <v>87</v>
      </c>
      <c r="F29" s="6">
        <v>410</v>
      </c>
      <c r="G29" s="2"/>
    </row>
    <row r="30" spans="2:7" x14ac:dyDescent="0.25">
      <c r="B30" s="2"/>
      <c r="C30" s="3" t="s">
        <v>26</v>
      </c>
      <c r="D30" s="6">
        <v>1.8335999999999999</v>
      </c>
      <c r="E30" s="2"/>
      <c r="F30" s="2"/>
      <c r="G30" s="2"/>
    </row>
    <row r="31" spans="2:7" x14ac:dyDescent="0.25">
      <c r="B31" s="2"/>
      <c r="C31" s="3" t="s">
        <v>28</v>
      </c>
      <c r="D31" s="6">
        <v>1.8624000000000001</v>
      </c>
      <c r="E31" s="2"/>
      <c r="F31" s="2"/>
      <c r="G31" s="2"/>
    </row>
    <row r="32" spans="2:7" x14ac:dyDescent="0.25">
      <c r="B32" s="2"/>
      <c r="C32" s="3" t="s">
        <v>29</v>
      </c>
      <c r="D32" s="19">
        <v>1.8335999999999999</v>
      </c>
      <c r="E32" s="2"/>
      <c r="F32" s="2"/>
      <c r="G32" s="2"/>
    </row>
    <row r="33" spans="2:7" x14ac:dyDescent="0.25">
      <c r="B33" s="2"/>
      <c r="C33" s="3" t="s">
        <v>30</v>
      </c>
      <c r="D33" s="19">
        <v>1.21</v>
      </c>
      <c r="E33" s="2"/>
      <c r="F33" s="2"/>
      <c r="G33" s="2"/>
    </row>
    <row r="34" spans="2:7" x14ac:dyDescent="0.25">
      <c r="B34" s="2"/>
      <c r="C34" s="3" t="s">
        <v>102</v>
      </c>
      <c r="D34" s="19">
        <v>1.9008</v>
      </c>
      <c r="E34" s="2"/>
      <c r="F34" s="2"/>
      <c r="G34" s="2"/>
    </row>
    <row r="35" spans="2:7" x14ac:dyDescent="0.25">
      <c r="B35" s="2"/>
      <c r="C35" s="3" t="s">
        <v>103</v>
      </c>
      <c r="D35" s="19">
        <v>1.92</v>
      </c>
      <c r="E35" s="2"/>
      <c r="F35" s="2"/>
      <c r="G35" s="2"/>
    </row>
    <row r="36" spans="2:7" x14ac:dyDescent="0.25">
      <c r="B36" s="2"/>
      <c r="C36" s="2"/>
      <c r="D36" s="2"/>
      <c r="E36" s="2"/>
      <c r="F36" s="2"/>
      <c r="G36" s="2"/>
    </row>
    <row r="37" spans="2:7" x14ac:dyDescent="0.25">
      <c r="B37" s="2"/>
      <c r="C37" s="2"/>
      <c r="D37" s="2"/>
      <c r="E37" s="2"/>
      <c r="F37" s="2"/>
      <c r="G37" s="2"/>
    </row>
    <row r="38" spans="2:7" ht="21" x14ac:dyDescent="0.35">
      <c r="B38" s="2"/>
      <c r="C38" s="5" t="s">
        <v>32</v>
      </c>
      <c r="D38" s="2"/>
      <c r="E38" s="2"/>
      <c r="F38" s="2"/>
      <c r="G38" s="2"/>
    </row>
    <row r="39" spans="2:7" x14ac:dyDescent="0.25">
      <c r="B39" s="2"/>
      <c r="C39" s="2"/>
      <c r="D39" s="6" t="s">
        <v>1</v>
      </c>
      <c r="E39" s="6" t="s">
        <v>23</v>
      </c>
      <c r="F39" s="2"/>
      <c r="G39" s="2"/>
    </row>
    <row r="40" spans="2:7" x14ac:dyDescent="0.25">
      <c r="B40" s="2"/>
      <c r="C40" s="3" t="s">
        <v>31</v>
      </c>
      <c r="D40" s="6">
        <f>Calculator!D12</f>
        <v>1.7</v>
      </c>
      <c r="E40" s="6">
        <f>Calculator!D12</f>
        <v>1.7</v>
      </c>
      <c r="F40" s="2"/>
      <c r="G40" s="2"/>
    </row>
    <row r="41" spans="2:7" x14ac:dyDescent="0.25">
      <c r="B41" s="2"/>
      <c r="C41" s="2" t="s">
        <v>92</v>
      </c>
      <c r="D41" s="6">
        <v>-0.4</v>
      </c>
      <c r="E41" s="6">
        <v>-0.3</v>
      </c>
      <c r="F41" s="2"/>
      <c r="G41" s="2"/>
    </row>
    <row r="42" spans="2:7" x14ac:dyDescent="0.25">
      <c r="B42" s="2"/>
      <c r="C42" s="2" t="s">
        <v>93</v>
      </c>
      <c r="D42" s="6">
        <v>0.05</v>
      </c>
      <c r="E42" s="6"/>
      <c r="F42" s="2"/>
      <c r="G42" s="2"/>
    </row>
    <row r="43" spans="2:7" x14ac:dyDescent="0.25">
      <c r="B43" s="2"/>
      <c r="C43" s="2"/>
      <c r="D43" s="2"/>
      <c r="E43" s="2"/>
      <c r="F43" s="2"/>
      <c r="G43" s="2"/>
    </row>
    <row r="44" spans="2:7" x14ac:dyDescent="0.25">
      <c r="B44" s="2"/>
      <c r="C44" s="2"/>
      <c r="D44" s="2"/>
      <c r="E44" s="2"/>
      <c r="F44" s="2"/>
      <c r="G44" s="2"/>
    </row>
    <row r="45" spans="2:7" ht="21" x14ac:dyDescent="0.35">
      <c r="B45" s="2"/>
      <c r="C45" s="5" t="s">
        <v>62</v>
      </c>
      <c r="D45" s="6"/>
      <c r="E45" s="6"/>
      <c r="F45" s="2"/>
      <c r="G45" s="2"/>
    </row>
    <row r="46" spans="2:7" x14ac:dyDescent="0.25">
      <c r="B46" s="2"/>
      <c r="C46" s="2"/>
      <c r="D46" s="6" t="s">
        <v>1</v>
      </c>
      <c r="E46" s="6" t="s">
        <v>23</v>
      </c>
      <c r="F46" s="19" t="s">
        <v>105</v>
      </c>
      <c r="G46" s="2"/>
    </row>
    <row r="47" spans="2:7" x14ac:dyDescent="0.25">
      <c r="B47" s="2"/>
      <c r="C47" s="3" t="s">
        <v>96</v>
      </c>
      <c r="D47" s="6">
        <f>0.06</f>
        <v>0.06</v>
      </c>
      <c r="E47" s="6"/>
      <c r="F47" s="2"/>
      <c r="G47" s="2"/>
    </row>
    <row r="48" spans="2:7" x14ac:dyDescent="0.25">
      <c r="B48" s="2"/>
      <c r="C48" s="3" t="s">
        <v>97</v>
      </c>
      <c r="D48" s="6">
        <v>4.2999999999999997E-2</v>
      </c>
      <c r="E48" s="6"/>
      <c r="F48" s="2"/>
      <c r="G48" s="2"/>
    </row>
    <row r="49" spans="2:7" x14ac:dyDescent="0.25">
      <c r="B49" s="2"/>
      <c r="C49" s="3" t="s">
        <v>31</v>
      </c>
      <c r="D49" s="6">
        <f>Calculator!D12</f>
        <v>1.7</v>
      </c>
      <c r="E49" s="6"/>
      <c r="F49" s="2"/>
      <c r="G49" s="2"/>
    </row>
    <row r="50" spans="2:7" x14ac:dyDescent="0.25">
      <c r="B50" s="2"/>
      <c r="C50" s="3" t="s">
        <v>66</v>
      </c>
      <c r="D50" s="6">
        <f>1-F50</f>
        <v>0.88</v>
      </c>
      <c r="E50" s="6">
        <f>1+F50</f>
        <v>1.1200000000000001</v>
      </c>
      <c r="F50" s="6">
        <v>0.12</v>
      </c>
      <c r="G50" s="2"/>
    </row>
    <row r="51" spans="2:7" x14ac:dyDescent="0.25">
      <c r="B51" s="2"/>
      <c r="C51" s="3" t="s">
        <v>67</v>
      </c>
      <c r="D51" s="6">
        <f>1-F51</f>
        <v>0.55000000000000004</v>
      </c>
      <c r="E51" s="6">
        <f>1+F51</f>
        <v>1.45</v>
      </c>
      <c r="F51" s="6">
        <v>0.45</v>
      </c>
      <c r="G51" s="2"/>
    </row>
    <row r="52" spans="2:7" x14ac:dyDescent="0.25">
      <c r="B52" s="2"/>
      <c r="C52" s="3" t="s">
        <v>68</v>
      </c>
      <c r="D52" s="6">
        <f>1-F52</f>
        <v>0.77</v>
      </c>
      <c r="E52" s="6">
        <f>1+F52</f>
        <v>1.23</v>
      </c>
      <c r="F52" s="6">
        <v>0.23</v>
      </c>
      <c r="G52" s="2"/>
    </row>
    <row r="53" spans="2:7" x14ac:dyDescent="0.25">
      <c r="B53" s="2"/>
      <c r="C53" s="2"/>
      <c r="D53" s="6"/>
      <c r="E53" s="6"/>
      <c r="F53" s="2"/>
      <c r="G53" s="2"/>
    </row>
    <row r="54" spans="2:7" x14ac:dyDescent="0.25">
      <c r="B54" s="2"/>
      <c r="C54" s="2"/>
      <c r="D54" s="6"/>
      <c r="E54" s="6"/>
      <c r="F54" s="2"/>
      <c r="G54" s="2"/>
    </row>
    <row r="55" spans="2:7" ht="21" x14ac:dyDescent="0.35">
      <c r="B55" s="2"/>
      <c r="C55" s="5" t="s">
        <v>41</v>
      </c>
      <c r="D55" s="6"/>
      <c r="E55" s="6"/>
      <c r="F55" s="2"/>
      <c r="G55" s="2"/>
    </row>
    <row r="56" spans="2:7" x14ac:dyDescent="0.25">
      <c r="B56" s="2"/>
      <c r="C56" s="2"/>
      <c r="D56" s="6" t="s">
        <v>24</v>
      </c>
      <c r="E56" s="6" t="s">
        <v>29</v>
      </c>
      <c r="F56" s="2"/>
      <c r="G56" s="2"/>
    </row>
    <row r="57" spans="2:7" x14ac:dyDescent="0.25">
      <c r="B57" s="2"/>
      <c r="C57" s="3" t="s">
        <v>15</v>
      </c>
      <c r="D57" s="2">
        <v>0.163194444444444</v>
      </c>
      <c r="E57" s="2">
        <v>8.1588902900378305E-2</v>
      </c>
      <c r="F57" s="2"/>
      <c r="G57" s="2"/>
    </row>
    <row r="58" spans="2:7" x14ac:dyDescent="0.25">
      <c r="B58" s="2"/>
      <c r="C58" s="3" t="s">
        <v>17</v>
      </c>
      <c r="D58" s="6">
        <f>Calculator!D5</f>
        <v>50</v>
      </c>
      <c r="E58" s="2"/>
      <c r="F58" s="2"/>
      <c r="G58" s="2"/>
    </row>
    <row r="59" spans="2:7" x14ac:dyDescent="0.25">
      <c r="B59" s="2"/>
      <c r="C59" s="2"/>
      <c r="D59" s="2"/>
      <c r="E59" s="2"/>
      <c r="F59" s="2"/>
      <c r="G59" s="2"/>
    </row>
    <row r="60" spans="2:7" x14ac:dyDescent="0.25">
      <c r="B60" s="2"/>
      <c r="C60" s="2"/>
      <c r="D60" s="2"/>
      <c r="E60" s="2"/>
      <c r="F60" s="2"/>
      <c r="G60" s="2"/>
    </row>
    <row r="61" spans="2:7" ht="21" x14ac:dyDescent="0.35">
      <c r="B61" s="2"/>
      <c r="C61" s="5" t="s">
        <v>43</v>
      </c>
      <c r="D61" s="2"/>
      <c r="E61" s="2"/>
      <c r="F61" s="2"/>
      <c r="G61" s="2"/>
    </row>
    <row r="62" spans="2:7" x14ac:dyDescent="0.25">
      <c r="B62" s="2"/>
      <c r="C62" s="2"/>
      <c r="D62" s="6" t="s">
        <v>24</v>
      </c>
      <c r="E62" s="6" t="s">
        <v>29</v>
      </c>
      <c r="F62" s="2"/>
      <c r="G62" s="2"/>
    </row>
    <row r="63" spans="2:7" x14ac:dyDescent="0.25">
      <c r="B63" s="2"/>
      <c r="C63" s="48" t="s">
        <v>72</v>
      </c>
      <c r="D63" s="6">
        <v>18.5</v>
      </c>
      <c r="E63" s="6">
        <v>13</v>
      </c>
      <c r="F63" s="2"/>
      <c r="G63" s="2"/>
    </row>
    <row r="64" spans="2:7" x14ac:dyDescent="0.25">
      <c r="B64" s="2"/>
      <c r="C64" s="48" t="s">
        <v>98</v>
      </c>
      <c r="D64" s="19">
        <v>0.97</v>
      </c>
      <c r="E64" s="6"/>
      <c r="F64" s="2"/>
      <c r="G64" s="2"/>
    </row>
    <row r="65" spans="2:7" x14ac:dyDescent="0.25">
      <c r="B65" s="2"/>
      <c r="C65" s="48" t="s">
        <v>99</v>
      </c>
      <c r="D65" s="19">
        <v>1.03</v>
      </c>
      <c r="E65" s="2"/>
      <c r="F65" s="2"/>
      <c r="G65" s="2"/>
    </row>
    <row r="66" spans="2:7" x14ac:dyDescent="0.25">
      <c r="B66" s="2"/>
      <c r="C66" s="48" t="s">
        <v>100</v>
      </c>
      <c r="D66" s="19">
        <v>0.98499999999999999</v>
      </c>
      <c r="E66" s="6"/>
      <c r="F66" s="2"/>
      <c r="G66" s="2"/>
    </row>
    <row r="67" spans="2:7" x14ac:dyDescent="0.25">
      <c r="B67" s="2"/>
      <c r="C67" s="48" t="s">
        <v>101</v>
      </c>
      <c r="D67" s="19">
        <v>1.0149999999999999</v>
      </c>
      <c r="E67" s="2"/>
      <c r="F67" s="2"/>
      <c r="G67" s="2"/>
    </row>
    <row r="68" spans="2:7" x14ac:dyDescent="0.25">
      <c r="B68" s="2"/>
      <c r="C68" s="2"/>
      <c r="D68" s="2"/>
      <c r="E68" s="2"/>
      <c r="F68" s="2"/>
      <c r="G68" s="2"/>
    </row>
    <row r="69" spans="2:7" x14ac:dyDescent="0.25">
      <c r="B69" s="2"/>
      <c r="C69" s="2"/>
      <c r="D69" s="2"/>
      <c r="E69" s="2"/>
      <c r="F69" s="2"/>
      <c r="G69" s="2"/>
    </row>
    <row r="70" spans="2:7" ht="21" x14ac:dyDescent="0.35">
      <c r="B70" s="2"/>
      <c r="C70" s="5" t="s">
        <v>46</v>
      </c>
      <c r="D70" s="6"/>
      <c r="E70" s="6"/>
      <c r="F70" s="2"/>
      <c r="G70" s="2"/>
    </row>
    <row r="71" spans="2:7" x14ac:dyDescent="0.25">
      <c r="B71" s="2"/>
      <c r="C71" s="2"/>
      <c r="D71" s="6"/>
      <c r="E71" s="6"/>
      <c r="F71" s="2"/>
      <c r="G71" s="2"/>
    </row>
    <row r="72" spans="2:7" x14ac:dyDescent="0.25">
      <c r="B72" s="2"/>
      <c r="C72" s="3" t="s">
        <v>31</v>
      </c>
      <c r="D72" s="6">
        <f>Calculator!D12</f>
        <v>1.7</v>
      </c>
      <c r="E72" s="6"/>
      <c r="F72" s="2"/>
      <c r="G72" s="2"/>
    </row>
    <row r="73" spans="2:7" x14ac:dyDescent="0.25">
      <c r="B73" s="2"/>
      <c r="C73" s="2"/>
      <c r="D73" s="6"/>
      <c r="E73" s="6"/>
      <c r="F73" s="2"/>
      <c r="G73" s="2"/>
    </row>
    <row r="74" spans="2:7" x14ac:dyDescent="0.25">
      <c r="B74" s="2"/>
      <c r="C74" s="2"/>
      <c r="D74" s="6"/>
      <c r="E74" s="6"/>
      <c r="F74" s="2"/>
      <c r="G74" s="2"/>
    </row>
    <row r="75" spans="2:7" ht="21" x14ac:dyDescent="0.35">
      <c r="B75" s="2"/>
      <c r="C75" s="5" t="s">
        <v>48</v>
      </c>
      <c r="D75" s="6"/>
      <c r="E75" s="6"/>
      <c r="F75" s="2"/>
      <c r="G75" s="2"/>
    </row>
    <row r="76" spans="2:7" x14ac:dyDescent="0.25">
      <c r="B76" s="2"/>
      <c r="C76" s="2"/>
      <c r="D76" s="6" t="s">
        <v>66</v>
      </c>
      <c r="E76" s="6" t="s">
        <v>68</v>
      </c>
      <c r="F76" s="2"/>
      <c r="G76" s="2"/>
    </row>
    <row r="77" spans="2:7" x14ac:dyDescent="0.25">
      <c r="B77" s="2"/>
      <c r="C77" s="3" t="s">
        <v>31</v>
      </c>
      <c r="D77" s="6">
        <f>Calculator!D12</f>
        <v>1.7</v>
      </c>
      <c r="E77" s="6">
        <f>Calculator!D12</f>
        <v>1.7</v>
      </c>
      <c r="F77" s="2"/>
      <c r="G77" s="2"/>
    </row>
    <row r="78" spans="2:7" x14ac:dyDescent="0.25">
      <c r="B78" s="2"/>
      <c r="C78" s="3" t="s">
        <v>49</v>
      </c>
      <c r="D78" s="6">
        <v>70</v>
      </c>
      <c r="E78" s="6">
        <v>42.3</v>
      </c>
      <c r="F78" s="2"/>
      <c r="G78" s="2"/>
    </row>
    <row r="79" spans="2:7" x14ac:dyDescent="0.25">
      <c r="B79" s="2"/>
      <c r="C79" s="3" t="s">
        <v>50</v>
      </c>
      <c r="D79" s="6">
        <v>1.29</v>
      </c>
      <c r="E79" s="6">
        <v>0.21</v>
      </c>
      <c r="F79" s="2"/>
      <c r="G79" s="2"/>
    </row>
    <row r="80" spans="2:7" x14ac:dyDescent="0.25">
      <c r="B80" s="2"/>
      <c r="C80" s="2"/>
      <c r="D80" s="6"/>
      <c r="E80" s="6"/>
      <c r="F80" s="6"/>
      <c r="G80" s="2"/>
    </row>
    <row r="81" spans="2:7" x14ac:dyDescent="0.25">
      <c r="B81" s="2"/>
      <c r="C81" s="2"/>
      <c r="D81" s="6"/>
      <c r="E81" s="6"/>
      <c r="F81" s="6"/>
      <c r="G81" s="2"/>
    </row>
    <row r="82" spans="2:7" x14ac:dyDescent="0.25">
      <c r="B82" s="2"/>
      <c r="C82" s="2"/>
      <c r="D82" s="6" t="s">
        <v>80</v>
      </c>
      <c r="E82" s="6" t="s">
        <v>81</v>
      </c>
      <c r="F82" s="6"/>
      <c r="G82" s="2"/>
    </row>
    <row r="83" spans="2:7" x14ac:dyDescent="0.25">
      <c r="B83" s="2"/>
      <c r="C83" s="3" t="s">
        <v>31</v>
      </c>
      <c r="D83" s="6">
        <f>Calculator!D12</f>
        <v>1.7</v>
      </c>
      <c r="E83" s="6">
        <f>Calculator!D12</f>
        <v>1.7</v>
      </c>
      <c r="F83" s="6"/>
      <c r="G83" s="2"/>
    </row>
    <row r="84" spans="2:7" x14ac:dyDescent="0.25">
      <c r="B84" s="2"/>
      <c r="C84" s="3" t="s">
        <v>49</v>
      </c>
      <c r="D84" s="6">
        <v>30</v>
      </c>
      <c r="E84" s="6">
        <v>70</v>
      </c>
      <c r="F84" s="6"/>
      <c r="G84" s="2"/>
    </row>
    <row r="85" spans="2:7" x14ac:dyDescent="0.25">
      <c r="B85" s="2"/>
      <c r="C85" s="3" t="s">
        <v>50</v>
      </c>
      <c r="D85" s="6">
        <v>0.41</v>
      </c>
      <c r="E85" s="6">
        <v>1.33</v>
      </c>
      <c r="F85" s="6"/>
      <c r="G85" s="2"/>
    </row>
    <row r="86" spans="2:7" x14ac:dyDescent="0.25">
      <c r="B86" s="2"/>
      <c r="C86" s="3"/>
      <c r="D86" s="6"/>
      <c r="E86" s="6"/>
      <c r="F86" s="6"/>
      <c r="G86" s="2"/>
    </row>
    <row r="87" spans="2:7" x14ac:dyDescent="0.25">
      <c r="B87" s="2"/>
      <c r="C87" s="3" t="s">
        <v>17</v>
      </c>
      <c r="D87" s="6">
        <v>229</v>
      </c>
      <c r="E87" s="6"/>
      <c r="F87" s="6"/>
      <c r="G87" s="2"/>
    </row>
    <row r="88" spans="2:7" x14ac:dyDescent="0.25">
      <c r="B88" s="2"/>
      <c r="C88" s="2"/>
      <c r="D88" s="6"/>
      <c r="E88" s="6"/>
      <c r="F88" s="6"/>
      <c r="G88" s="2"/>
    </row>
  </sheetData>
  <pageMargins left="0.7" right="0.7" top="0.78740157499999996" bottom="0.78740157499999996"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5DD7-ADC2-427B-BE00-7402935AE4BF}">
  <dimension ref="B2:K111"/>
  <sheetViews>
    <sheetView workbookViewId="0"/>
  </sheetViews>
  <sheetFormatPr baseColWidth="10" defaultRowHeight="15" x14ac:dyDescent="0.25"/>
  <cols>
    <col min="1" max="1" width="6.7109375" style="1" customWidth="1"/>
    <col min="2" max="2" width="3.7109375" style="1" customWidth="1"/>
    <col min="3" max="3" width="20.85546875" style="1" bestFit="1" customWidth="1"/>
    <col min="4" max="5" width="12" style="1" bestFit="1" customWidth="1"/>
    <col min="6" max="6" width="11.42578125" style="1"/>
    <col min="7" max="7" width="12.5703125" style="1" bestFit="1" customWidth="1"/>
    <col min="8" max="8" width="3.7109375" style="1" customWidth="1"/>
    <col min="9" max="16384" width="11.42578125" style="1"/>
  </cols>
  <sheetData>
    <row r="2" spans="2:8" ht="21" x14ac:dyDescent="0.35">
      <c r="B2" s="2"/>
      <c r="C2" s="5" t="s">
        <v>0</v>
      </c>
      <c r="D2" s="2"/>
      <c r="E2" s="2"/>
      <c r="F2" s="2"/>
      <c r="G2" s="2"/>
      <c r="H2" s="2"/>
    </row>
    <row r="3" spans="2:8" x14ac:dyDescent="0.25">
      <c r="B3" s="2"/>
      <c r="C3" s="2"/>
      <c r="D3" s="6" t="s">
        <v>1</v>
      </c>
      <c r="E3" s="6" t="s">
        <v>23</v>
      </c>
      <c r="F3" s="2"/>
      <c r="G3" s="2"/>
      <c r="H3" s="2"/>
    </row>
    <row r="4" spans="2:8" x14ac:dyDescent="0.25">
      <c r="B4" s="2"/>
      <c r="C4" s="3" t="s">
        <v>17</v>
      </c>
      <c r="D4" s="6">
        <f>Werte!D5/100</f>
        <v>0.5</v>
      </c>
      <c r="E4" s="6">
        <f>1-D4</f>
        <v>0.5</v>
      </c>
      <c r="F4" s="2"/>
      <c r="G4" s="2"/>
      <c r="H4" s="2"/>
    </row>
    <row r="5" spans="2:8" x14ac:dyDescent="0.25">
      <c r="B5" s="2"/>
      <c r="C5" s="3" t="s">
        <v>0</v>
      </c>
      <c r="D5" s="6">
        <f>Werte!D4*D4</f>
        <v>725</v>
      </c>
      <c r="E5" s="6">
        <f>Werte!D4*E4</f>
        <v>725</v>
      </c>
      <c r="F5" s="2"/>
      <c r="G5" s="2"/>
      <c r="H5" s="2"/>
    </row>
    <row r="6" spans="2:8" x14ac:dyDescent="0.25">
      <c r="B6" s="2"/>
      <c r="C6" s="2"/>
      <c r="D6" s="2"/>
      <c r="E6" s="2"/>
      <c r="F6" s="2"/>
      <c r="G6" s="2"/>
      <c r="H6" s="2"/>
    </row>
    <row r="7" spans="2:8" x14ac:dyDescent="0.25">
      <c r="B7" s="2"/>
      <c r="C7" s="2"/>
      <c r="D7" s="2"/>
      <c r="E7" s="2"/>
      <c r="F7" s="2"/>
      <c r="G7" s="2"/>
      <c r="H7" s="2"/>
    </row>
    <row r="8" spans="2:8" ht="21" x14ac:dyDescent="0.35">
      <c r="B8" s="2"/>
      <c r="C8" s="5" t="s">
        <v>82</v>
      </c>
      <c r="D8" s="2"/>
      <c r="E8" s="2"/>
      <c r="F8" s="2"/>
      <c r="G8" s="2"/>
      <c r="H8" s="2"/>
    </row>
    <row r="9" spans="2:8" x14ac:dyDescent="0.25">
      <c r="B9" s="2"/>
      <c r="C9" s="2"/>
      <c r="D9" s="6" t="s">
        <v>1</v>
      </c>
      <c r="E9" s="6" t="s">
        <v>23</v>
      </c>
      <c r="F9" s="6"/>
      <c r="G9" s="2"/>
      <c r="H9" s="2"/>
    </row>
    <row r="10" spans="2:8" x14ac:dyDescent="0.25">
      <c r="B10" s="2"/>
      <c r="C10" s="3" t="s">
        <v>20</v>
      </c>
      <c r="D10" s="6">
        <f>1-Werte!E10/100</f>
        <v>0.97499999999999998</v>
      </c>
      <c r="E10" s="6">
        <f>1+Werte!E10/100</f>
        <v>1.0249999999999999</v>
      </c>
      <c r="F10" s="6"/>
      <c r="G10" s="2"/>
      <c r="H10" s="2"/>
    </row>
    <row r="11" spans="2:8" x14ac:dyDescent="0.25">
      <c r="B11" s="2"/>
      <c r="C11" s="3" t="s">
        <v>38</v>
      </c>
      <c r="D11" s="6">
        <f>Werte!E11*0.05</f>
        <v>8.5000000000000006E-2</v>
      </c>
      <c r="E11" s="6">
        <f>Werte!E11*0.05</f>
        <v>8.5000000000000006E-2</v>
      </c>
      <c r="F11" s="6"/>
      <c r="G11" s="2"/>
      <c r="H11" s="2"/>
    </row>
    <row r="12" spans="2:8" x14ac:dyDescent="0.25">
      <c r="B12" s="2"/>
      <c r="C12" s="3" t="s">
        <v>62</v>
      </c>
      <c r="D12" s="6">
        <f>1-Werte!E12/100</f>
        <v>0.89</v>
      </c>
      <c r="E12" s="6">
        <f>1+Werte!E12/100</f>
        <v>1.1100000000000001</v>
      </c>
      <c r="F12" s="6"/>
      <c r="G12" s="2"/>
      <c r="H12" s="2"/>
    </row>
    <row r="13" spans="2:8" x14ac:dyDescent="0.25">
      <c r="B13" s="2"/>
      <c r="C13" s="3" t="s">
        <v>15</v>
      </c>
      <c r="D13" s="6">
        <f>1-Werte!E13/100</f>
        <v>0.98</v>
      </c>
      <c r="E13" s="6">
        <f>1+Werte!E13/100</f>
        <v>1.02</v>
      </c>
      <c r="F13" s="6"/>
      <c r="G13" s="2"/>
      <c r="H13" s="2"/>
    </row>
    <row r="14" spans="2:8" x14ac:dyDescent="0.25">
      <c r="B14" s="2"/>
      <c r="C14" s="3" t="s">
        <v>42</v>
      </c>
      <c r="D14" s="6">
        <f>1-Werte!E14/100</f>
        <v>0.99</v>
      </c>
      <c r="E14" s="6">
        <f>1+Werte!E14/100</f>
        <v>1.01</v>
      </c>
      <c r="F14" s="6"/>
      <c r="G14" s="2"/>
      <c r="H14" s="2"/>
    </row>
    <row r="15" spans="2:8" x14ac:dyDescent="0.25">
      <c r="B15" s="2"/>
      <c r="C15" s="3" t="s">
        <v>44</v>
      </c>
      <c r="D15" s="6">
        <f>1-Werte!E15/100</f>
        <v>0.98</v>
      </c>
      <c r="E15" s="6">
        <f>1+Werte!E15/100</f>
        <v>1.02</v>
      </c>
      <c r="F15" s="6"/>
      <c r="G15" s="2"/>
      <c r="H15" s="2"/>
    </row>
    <row r="16" spans="2:8" x14ac:dyDescent="0.25">
      <c r="B16" s="2"/>
      <c r="C16" s="3" t="s">
        <v>45</v>
      </c>
      <c r="D16" s="6">
        <f>1-Werte!E16/100</f>
        <v>0.98</v>
      </c>
      <c r="E16" s="6">
        <f>1+Werte!E16/100</f>
        <v>1.02</v>
      </c>
      <c r="F16" s="6"/>
      <c r="G16" s="2"/>
      <c r="H16" s="2"/>
    </row>
    <row r="17" spans="2:11" x14ac:dyDescent="0.25">
      <c r="B17" s="2"/>
      <c r="C17" s="3" t="s">
        <v>83</v>
      </c>
      <c r="D17" s="6">
        <f>1-Werte!E17/100</f>
        <v>0.95</v>
      </c>
      <c r="E17" s="6">
        <f>1+Werte!E17/100</f>
        <v>1.05</v>
      </c>
      <c r="F17" s="6"/>
      <c r="G17" s="2"/>
      <c r="H17" s="2"/>
    </row>
    <row r="18" spans="2:11" x14ac:dyDescent="0.25">
      <c r="B18" s="2"/>
      <c r="C18" s="2"/>
      <c r="D18" s="6"/>
      <c r="E18" s="6"/>
      <c r="F18" s="6"/>
      <c r="G18" s="2"/>
      <c r="H18" s="2"/>
    </row>
    <row r="19" spans="2:11" x14ac:dyDescent="0.25">
      <c r="B19" s="2"/>
      <c r="C19" s="2"/>
      <c r="D19" s="2"/>
      <c r="E19" s="2"/>
      <c r="F19" s="2"/>
      <c r="G19" s="2"/>
      <c r="H19" s="2"/>
    </row>
    <row r="20" spans="2:11" ht="21" x14ac:dyDescent="0.35">
      <c r="B20" s="2"/>
      <c r="C20" s="5" t="s">
        <v>10</v>
      </c>
      <c r="D20" s="2"/>
      <c r="E20" s="2"/>
      <c r="F20" s="2"/>
      <c r="G20" s="2"/>
      <c r="H20" s="2"/>
    </row>
    <row r="21" spans="2:11" x14ac:dyDescent="0.25">
      <c r="B21" s="2"/>
      <c r="C21" s="2"/>
      <c r="D21" s="6" t="s">
        <v>1</v>
      </c>
      <c r="E21" s="6" t="s">
        <v>23</v>
      </c>
      <c r="F21" s="2"/>
      <c r="G21" s="2"/>
      <c r="H21" s="2"/>
    </row>
    <row r="22" spans="2:11" x14ac:dyDescent="0.25">
      <c r="B22" s="2"/>
      <c r="C22" s="3" t="s">
        <v>51</v>
      </c>
      <c r="D22" s="6">
        <f>Werte!D4*Werte!D5/100</f>
        <v>725</v>
      </c>
      <c r="E22" s="6">
        <f>Werte!D4-Formeln!D22</f>
        <v>725</v>
      </c>
      <c r="F22" s="2"/>
      <c r="G22" s="2"/>
      <c r="H22" s="2"/>
      <c r="K22" s="9"/>
    </row>
    <row r="23" spans="2:11" x14ac:dyDescent="0.25">
      <c r="B23" s="2"/>
      <c r="C23" s="3" t="s">
        <v>52</v>
      </c>
      <c r="D23" s="6">
        <f>Calculator!H4</f>
        <v>0</v>
      </c>
      <c r="E23" s="6">
        <f>Calculator!H5</f>
        <v>0</v>
      </c>
      <c r="F23" s="2"/>
      <c r="G23" s="2"/>
      <c r="H23" s="2"/>
    </row>
    <row r="24" spans="2:11" x14ac:dyDescent="0.25">
      <c r="B24" s="2"/>
      <c r="C24" s="3" t="s">
        <v>53</v>
      </c>
      <c r="D24" s="6">
        <f>D22+D23</f>
        <v>725</v>
      </c>
      <c r="E24" s="6">
        <f>E22+E23</f>
        <v>725</v>
      </c>
      <c r="F24" s="2"/>
      <c r="G24" s="2"/>
      <c r="H24" s="2"/>
    </row>
    <row r="25" spans="2:11" x14ac:dyDescent="0.25">
      <c r="B25" s="2"/>
      <c r="C25" s="3" t="s">
        <v>54</v>
      </c>
      <c r="D25" s="10">
        <f>D24/D22</f>
        <v>1</v>
      </c>
      <c r="E25" s="10">
        <f>E24/E22</f>
        <v>1</v>
      </c>
      <c r="F25" s="2"/>
      <c r="G25" s="2"/>
      <c r="H25" s="2"/>
    </row>
    <row r="26" spans="2:11" x14ac:dyDescent="0.25">
      <c r="B26" s="2"/>
      <c r="C26" s="3" t="s">
        <v>17</v>
      </c>
      <c r="D26" s="7">
        <f>D71*D25*100</f>
        <v>50</v>
      </c>
      <c r="E26" s="7">
        <f>E71*E25*100</f>
        <v>50</v>
      </c>
      <c r="F26" s="2"/>
      <c r="G26" s="2"/>
      <c r="H26" s="2"/>
    </row>
    <row r="27" spans="2:11" x14ac:dyDescent="0.25">
      <c r="B27" s="2"/>
      <c r="C27" s="3" t="s">
        <v>55</v>
      </c>
      <c r="D27" s="10">
        <f>D26/(D26+E26)</f>
        <v>0.5</v>
      </c>
      <c r="E27" s="10">
        <f>E26/(D26+E26)</f>
        <v>0.5</v>
      </c>
      <c r="F27" s="2"/>
      <c r="G27" s="2"/>
      <c r="H27" s="2"/>
    </row>
    <row r="28" spans="2:11" x14ac:dyDescent="0.25">
      <c r="B28" s="2"/>
      <c r="C28" s="2"/>
      <c r="D28" s="2"/>
      <c r="E28" s="2"/>
      <c r="F28" s="2"/>
      <c r="G28" s="2"/>
      <c r="H28" s="2"/>
    </row>
    <row r="29" spans="2:11" x14ac:dyDescent="0.25">
      <c r="B29" s="2"/>
      <c r="C29" s="2"/>
      <c r="D29" s="2"/>
      <c r="E29" s="2"/>
      <c r="F29" s="2"/>
      <c r="G29" s="2"/>
      <c r="H29" s="2"/>
    </row>
    <row r="30" spans="2:11" ht="21" x14ac:dyDescent="0.35">
      <c r="B30" s="2"/>
      <c r="C30" s="5" t="s">
        <v>5</v>
      </c>
      <c r="D30" s="2"/>
      <c r="E30" s="2"/>
      <c r="F30" s="2"/>
      <c r="G30" s="2"/>
      <c r="H30" s="2"/>
    </row>
    <row r="31" spans="2:11" x14ac:dyDescent="0.25">
      <c r="B31" s="2"/>
      <c r="C31" s="3"/>
      <c r="D31" s="6" t="s">
        <v>1</v>
      </c>
      <c r="E31" s="6" t="s">
        <v>23</v>
      </c>
      <c r="F31" s="2"/>
      <c r="G31" s="2"/>
      <c r="H31" s="2"/>
    </row>
    <row r="32" spans="2:11" x14ac:dyDescent="0.25">
      <c r="B32" s="2"/>
      <c r="C32" s="3" t="s">
        <v>31</v>
      </c>
      <c r="D32" s="10">
        <f>2/Werte!D22/10+1</f>
        <v>1.1176470588235294</v>
      </c>
      <c r="E32" s="10"/>
      <c r="F32" s="2"/>
      <c r="G32" s="2"/>
      <c r="H32" s="2"/>
    </row>
    <row r="33" spans="2:10" x14ac:dyDescent="0.25">
      <c r="B33" s="2"/>
      <c r="C33" s="3" t="s">
        <v>5</v>
      </c>
      <c r="D33" s="6">
        <f>Werte!F28</f>
        <v>1.9104000000000001</v>
      </c>
      <c r="E33" s="6">
        <f>Werte!F28</f>
        <v>1.9104000000000001</v>
      </c>
      <c r="F33" s="3"/>
      <c r="G33" s="2"/>
      <c r="H33" s="2"/>
    </row>
    <row r="34" spans="2:10" x14ac:dyDescent="0.25">
      <c r="B34" s="2"/>
      <c r="C34" s="3" t="s">
        <v>17</v>
      </c>
      <c r="D34" s="6">
        <f>D71/10+1</f>
        <v>1.05</v>
      </c>
      <c r="E34" s="6">
        <f>E71/10+1</f>
        <v>1.05</v>
      </c>
      <c r="F34" s="2"/>
      <c r="G34" s="2"/>
      <c r="H34" s="2"/>
    </row>
    <row r="35" spans="2:10" x14ac:dyDescent="0.25">
      <c r="B35" s="2"/>
      <c r="C35" s="3" t="s">
        <v>59</v>
      </c>
      <c r="D35" s="6">
        <f>D25/100+1</f>
        <v>1.01</v>
      </c>
      <c r="E35" s="6">
        <f>E25/100+1</f>
        <v>1.01</v>
      </c>
      <c r="F35" s="2"/>
      <c r="G35" s="2"/>
      <c r="H35" s="2"/>
    </row>
    <row r="36" spans="2:10" x14ac:dyDescent="0.25">
      <c r="B36" s="2"/>
      <c r="C36" s="3" t="s">
        <v>47</v>
      </c>
      <c r="D36" s="10">
        <f>D32*D33*D34</f>
        <v>2.2419105882352945</v>
      </c>
      <c r="E36" s="10">
        <f>D32*E33*E34</f>
        <v>2.2419105882352945</v>
      </c>
      <c r="F36" s="2"/>
      <c r="G36" s="2"/>
      <c r="H36" s="2"/>
    </row>
    <row r="37" spans="2:10" x14ac:dyDescent="0.25">
      <c r="B37" s="2"/>
      <c r="C37" s="3" t="s">
        <v>58</v>
      </c>
      <c r="D37" s="10">
        <f>D36*D35</f>
        <v>2.2643296941176474</v>
      </c>
      <c r="E37" s="10">
        <f>E36*E35</f>
        <v>2.2643296941176474</v>
      </c>
      <c r="F37" s="2"/>
      <c r="G37" s="2"/>
      <c r="H37" s="2"/>
    </row>
    <row r="38" spans="2:10" x14ac:dyDescent="0.25">
      <c r="B38" s="2"/>
      <c r="C38" s="3" t="s">
        <v>89</v>
      </c>
      <c r="D38" s="10">
        <f>D37*(Calculator!H17/100+1)*(1+Calculator!H18/100)*IF(Calculator!H9="Neutral",1,Formeln!D10)</f>
        <v>2.2643296941176474</v>
      </c>
      <c r="E38" s="10">
        <f>E37*(Calculator!H17/100+1)*(1-Calculator!H18/100)*IF(Calculator!H9="Neutral",1,Formeln!E10)</f>
        <v>2.2643296941176474</v>
      </c>
      <c r="F38" s="2"/>
      <c r="G38" s="2"/>
      <c r="H38" s="2"/>
    </row>
    <row r="39" spans="2:10" x14ac:dyDescent="0.25">
      <c r="B39" s="2"/>
      <c r="C39" s="3" t="s">
        <v>86</v>
      </c>
      <c r="D39" s="10">
        <f>TRUNC(D38,1)</f>
        <v>2.2000000000000002</v>
      </c>
      <c r="E39" s="10">
        <f>TRUNC(E38,1)</f>
        <v>2.2000000000000002</v>
      </c>
      <c r="F39" s="2"/>
      <c r="G39" s="2"/>
      <c r="H39" s="2"/>
    </row>
    <row r="40" spans="2:10" x14ac:dyDescent="0.25">
      <c r="B40" s="2"/>
      <c r="C40" s="3" t="s">
        <v>90</v>
      </c>
      <c r="D40" s="7">
        <f>(D37-TRUNC(D37,1))*100</f>
        <v>6.4329694117647218</v>
      </c>
      <c r="E40" s="7">
        <f>(E37-TRUNC(E37,1))*100</f>
        <v>6.4329694117647218</v>
      </c>
      <c r="F40" s="2"/>
      <c r="G40" s="2"/>
      <c r="H40" s="2"/>
    </row>
    <row r="41" spans="2:10" x14ac:dyDescent="0.25">
      <c r="B41" s="2"/>
      <c r="C41" s="3" t="s">
        <v>88</v>
      </c>
      <c r="D41" s="11">
        <f>15/10</f>
        <v>1.5</v>
      </c>
      <c r="E41" s="11">
        <f>15/10</f>
        <v>1.5</v>
      </c>
      <c r="F41" s="2"/>
      <c r="G41" s="2"/>
      <c r="H41" s="2"/>
    </row>
    <row r="42" spans="2:10" x14ac:dyDescent="0.25">
      <c r="B42" s="2"/>
      <c r="C42" s="3" t="s">
        <v>87</v>
      </c>
      <c r="D42" s="7">
        <f>D40*D41</f>
        <v>9.6494541176470818</v>
      </c>
      <c r="E42" s="7">
        <f>E40*E41</f>
        <v>9.6494541176470818</v>
      </c>
      <c r="F42" s="2"/>
      <c r="G42" s="2"/>
      <c r="H42" s="2"/>
    </row>
    <row r="43" spans="2:10" x14ac:dyDescent="0.25">
      <c r="B43" s="2"/>
      <c r="C43" s="3" t="s">
        <v>91</v>
      </c>
      <c r="D43" s="10">
        <f>D39+D42/100</f>
        <v>2.2964945411764708</v>
      </c>
      <c r="E43" s="10">
        <f>E39+E42/100</f>
        <v>2.2964945411764708</v>
      </c>
      <c r="F43" s="2"/>
      <c r="G43" s="2"/>
      <c r="H43" s="2"/>
      <c r="J43" s="15"/>
    </row>
    <row r="44" spans="2:10" x14ac:dyDescent="0.25">
      <c r="B44" s="2"/>
      <c r="C44" s="2"/>
      <c r="D44" s="2"/>
      <c r="E44" s="2"/>
      <c r="F44" s="2"/>
      <c r="G44" s="2"/>
      <c r="H44" s="2"/>
    </row>
    <row r="45" spans="2:10" x14ac:dyDescent="0.25">
      <c r="B45" s="2"/>
      <c r="C45" s="3" t="s">
        <v>56</v>
      </c>
      <c r="D45" s="10">
        <f>Calculator!D8/(Calculator!D8+Calculator!D9)</f>
        <v>0.5</v>
      </c>
      <c r="E45" s="10">
        <f>Calculator!D9/(Calculator!D8+Calculator!D9)</f>
        <v>0.5</v>
      </c>
      <c r="F45" s="2"/>
      <c r="G45" s="2"/>
      <c r="H45" s="2"/>
    </row>
    <row r="46" spans="2:10" x14ac:dyDescent="0.25">
      <c r="B46" s="2"/>
      <c r="C46" s="2"/>
      <c r="D46" s="2"/>
      <c r="E46" s="2"/>
      <c r="F46" s="2"/>
      <c r="G46" s="2"/>
      <c r="H46" s="2"/>
    </row>
    <row r="47" spans="2:10" x14ac:dyDescent="0.25">
      <c r="B47" s="2"/>
      <c r="C47" s="2"/>
      <c r="D47" s="2"/>
      <c r="E47" s="2"/>
      <c r="F47" s="2"/>
      <c r="G47" s="2"/>
      <c r="H47" s="2"/>
    </row>
    <row r="48" spans="2:10" ht="21" x14ac:dyDescent="0.35">
      <c r="B48" s="2"/>
      <c r="C48" s="5" t="s">
        <v>32</v>
      </c>
      <c r="D48" s="2"/>
      <c r="E48" s="2"/>
      <c r="F48" s="2"/>
      <c r="G48" s="2"/>
      <c r="H48" s="2"/>
    </row>
    <row r="49" spans="2:9" x14ac:dyDescent="0.25">
      <c r="B49" s="2"/>
      <c r="C49" s="2"/>
      <c r="D49" s="6" t="s">
        <v>1</v>
      </c>
      <c r="E49" s="6" t="s">
        <v>23</v>
      </c>
      <c r="F49" s="2"/>
      <c r="G49" s="2"/>
      <c r="H49" s="2"/>
    </row>
    <row r="50" spans="2:9" x14ac:dyDescent="0.25">
      <c r="B50" s="2"/>
      <c r="C50" s="3" t="s">
        <v>60</v>
      </c>
      <c r="D50" s="11">
        <f>(-5*(Werte!D40^2/2/10+1)*D45*IF(Calculator!G5=0,E71,(D71-(D26/1000)))+Werte!D41)</f>
        <v>-1.6875625000000003</v>
      </c>
      <c r="E50" s="11">
        <f>-4.5*(Werte!D40^2/2/10+1)*D45*IF(Calculator!G4=0,D71,(E71-(E26/1000)))+Werte!E41</f>
        <v>-1.4588062500000003</v>
      </c>
      <c r="F50" s="2"/>
      <c r="G50" s="13"/>
      <c r="H50" s="2"/>
      <c r="I50" s="9"/>
    </row>
    <row r="51" spans="2:9" x14ac:dyDescent="0.25">
      <c r="B51" s="2"/>
      <c r="C51" s="3" t="s">
        <v>38</v>
      </c>
      <c r="D51" s="11">
        <f>((Calculator!D12^2/2)*E45-1)/3.3</f>
        <v>-8.4090909090909119E-2</v>
      </c>
      <c r="E51" s="11">
        <f>((Werte!D40^2/2)*D45-1)/3.3</f>
        <v>-8.4090909090909119E-2</v>
      </c>
      <c r="F51" s="2"/>
      <c r="G51" s="13"/>
      <c r="H51" s="2"/>
      <c r="I51" s="9"/>
    </row>
    <row r="52" spans="2:9" x14ac:dyDescent="0.25">
      <c r="B52" s="2"/>
      <c r="C52" s="3" t="s">
        <v>61</v>
      </c>
      <c r="D52" s="52">
        <f>(7-(D50^2/2))*(1-Werte!D42)</f>
        <v>5.2972630840820303</v>
      </c>
      <c r="E52" s="52"/>
      <c r="F52" s="2"/>
      <c r="G52" s="2"/>
      <c r="H52" s="2"/>
    </row>
    <row r="53" spans="2:9" x14ac:dyDescent="0.25">
      <c r="B53" s="2"/>
      <c r="C53" s="2"/>
      <c r="D53" s="6"/>
      <c r="E53" s="6"/>
      <c r="F53" s="2"/>
      <c r="G53" s="2"/>
      <c r="H53" s="2"/>
    </row>
    <row r="54" spans="2:9" x14ac:dyDescent="0.25">
      <c r="B54" s="2"/>
      <c r="C54" s="2"/>
      <c r="D54" s="6"/>
      <c r="E54" s="6"/>
      <c r="F54" s="2"/>
      <c r="G54" s="2"/>
      <c r="H54" s="2"/>
    </row>
    <row r="55" spans="2:9" ht="21" x14ac:dyDescent="0.35">
      <c r="B55" s="2"/>
      <c r="C55" s="5" t="s">
        <v>62</v>
      </c>
      <c r="D55" s="6"/>
      <c r="E55" s="6"/>
      <c r="F55" s="2"/>
      <c r="G55" s="2"/>
      <c r="H55" s="2"/>
    </row>
    <row r="56" spans="2:9" x14ac:dyDescent="0.25">
      <c r="B56" s="2"/>
      <c r="C56" s="2"/>
      <c r="D56" s="6" t="s">
        <v>1</v>
      </c>
      <c r="E56" s="6" t="s">
        <v>23</v>
      </c>
      <c r="F56" s="2"/>
      <c r="G56" s="2"/>
      <c r="H56" s="2"/>
    </row>
    <row r="57" spans="2:9" x14ac:dyDescent="0.25">
      <c r="B57" s="2"/>
      <c r="C57" s="3" t="s">
        <v>16</v>
      </c>
      <c r="D57" s="51">
        <f>IF(Calculator!H8="Straße",Werte!D47*Werte!D4,Werte!D48*Werte!D4)</f>
        <v>87</v>
      </c>
      <c r="E57" s="51"/>
      <c r="F57" s="2"/>
      <c r="G57" s="2"/>
      <c r="H57" s="2"/>
    </row>
    <row r="58" spans="2:9" x14ac:dyDescent="0.25">
      <c r="B58" s="2"/>
      <c r="C58" s="3" t="s">
        <v>95</v>
      </c>
      <c r="D58" s="51">
        <f>IF(D57&lt;160,D57,160)</f>
        <v>87</v>
      </c>
      <c r="E58" s="51"/>
      <c r="F58" s="2"/>
      <c r="G58" s="2"/>
      <c r="H58" s="2"/>
    </row>
    <row r="59" spans="2:9" x14ac:dyDescent="0.25">
      <c r="B59" s="2"/>
      <c r="C59" s="3" t="s">
        <v>17</v>
      </c>
      <c r="D59" s="11">
        <f>D58*D71</f>
        <v>43.5</v>
      </c>
      <c r="E59" s="11">
        <f>D58*E71</f>
        <v>43.5</v>
      </c>
      <c r="F59" s="2"/>
      <c r="G59" s="2"/>
      <c r="H59" s="2"/>
    </row>
    <row r="60" spans="2:9" x14ac:dyDescent="0.25">
      <c r="B60" s="2"/>
      <c r="C60" s="3" t="s">
        <v>63</v>
      </c>
      <c r="D60" s="6">
        <f>D59*D45</f>
        <v>21.75</v>
      </c>
      <c r="E60" s="6">
        <f>E59*E45</f>
        <v>21.75</v>
      </c>
      <c r="F60" s="2"/>
      <c r="G60" s="2"/>
      <c r="H60" s="2"/>
    </row>
    <row r="61" spans="2:9" x14ac:dyDescent="0.25">
      <c r="B61" s="2"/>
      <c r="C61" s="3" t="s">
        <v>64</v>
      </c>
      <c r="D61" s="6">
        <f>1-Werte!D49^2/200</f>
        <v>0.98555000000000004</v>
      </c>
      <c r="E61" s="6">
        <f>1+Werte!D49^2/200</f>
        <v>1.0144500000000001</v>
      </c>
      <c r="F61" s="2"/>
      <c r="G61" s="2"/>
      <c r="H61" s="2"/>
    </row>
    <row r="62" spans="2:9" x14ac:dyDescent="0.25">
      <c r="B62" s="2"/>
      <c r="C62" s="3" t="s">
        <v>65</v>
      </c>
      <c r="D62" s="6">
        <f>1+Werte!D49^3/30</f>
        <v>1.1637666666666666</v>
      </c>
      <c r="E62" s="6">
        <f>1+Werte!D49^3/30</f>
        <v>1.1637666666666666</v>
      </c>
      <c r="F62" s="2"/>
      <c r="G62" s="2"/>
      <c r="H62" s="2"/>
    </row>
    <row r="63" spans="2:9" x14ac:dyDescent="0.25">
      <c r="B63" s="2"/>
      <c r="C63" s="3" t="s">
        <v>69</v>
      </c>
      <c r="D63" s="6">
        <f>IF(Calculator!H12="RWD",Werte!D50,IF(Calculator!H12="AWD",Werte!D51,IF(Calculator!H12="FWD",Werte!D52,)))</f>
        <v>0.88</v>
      </c>
      <c r="E63" s="6">
        <f>IF(Calculator!H12="RWD",Werte!E50,IF(Calculator!H12="AWD",Werte!E51,IF(Calculator!H12="FWD",Werte!E52,)))</f>
        <v>1.1200000000000001</v>
      </c>
      <c r="F63" s="2"/>
      <c r="G63" s="2"/>
      <c r="H63" s="2"/>
    </row>
    <row r="64" spans="2:9" x14ac:dyDescent="0.25">
      <c r="B64" s="2"/>
      <c r="C64" s="3" t="s">
        <v>16</v>
      </c>
      <c r="D64" s="11">
        <f>D60*D61*D62*D63</f>
        <v>21.952627561700002</v>
      </c>
      <c r="E64" s="11">
        <f>E60*E61*E62*E63</f>
        <v>28.759004194200006</v>
      </c>
      <c r="F64" s="2"/>
      <c r="G64" s="2"/>
      <c r="H64" s="2"/>
    </row>
    <row r="65" spans="2:8" x14ac:dyDescent="0.25">
      <c r="B65" s="2"/>
      <c r="C65" s="2"/>
      <c r="D65" s="6"/>
      <c r="E65" s="6"/>
      <c r="F65" s="2"/>
      <c r="G65" s="2"/>
      <c r="H65" s="2"/>
    </row>
    <row r="66" spans="2:8" x14ac:dyDescent="0.25">
      <c r="B66" s="2"/>
      <c r="C66" s="2"/>
      <c r="D66" s="2"/>
      <c r="E66" s="2"/>
      <c r="F66" s="2"/>
      <c r="G66" s="2"/>
      <c r="H66" s="2"/>
    </row>
    <row r="67" spans="2:8" ht="21" x14ac:dyDescent="0.35">
      <c r="B67" s="2"/>
      <c r="C67" s="5" t="s">
        <v>41</v>
      </c>
      <c r="D67" s="2"/>
      <c r="E67" s="2"/>
      <c r="F67" s="2"/>
      <c r="G67" s="2"/>
      <c r="H67" s="2"/>
    </row>
    <row r="68" spans="2:8" x14ac:dyDescent="0.25">
      <c r="B68" s="2"/>
      <c r="C68" s="2"/>
      <c r="D68" s="6" t="s">
        <v>24</v>
      </c>
      <c r="E68" s="6"/>
      <c r="F68" s="6" t="s">
        <v>29</v>
      </c>
      <c r="G68" s="6"/>
      <c r="H68" s="2"/>
    </row>
    <row r="69" spans="2:8" x14ac:dyDescent="0.25">
      <c r="B69" s="2"/>
      <c r="C69" s="3" t="s">
        <v>15</v>
      </c>
      <c r="D69" s="51">
        <f>Calculator!D4*Werte!D57</f>
        <v>236.6319444444438</v>
      </c>
      <c r="E69" s="51"/>
      <c r="F69" s="51">
        <f>Calculator!D4*Werte!E57</f>
        <v>118.30390920554854</v>
      </c>
      <c r="G69" s="51"/>
      <c r="H69" s="2"/>
    </row>
    <row r="70" spans="2:8" x14ac:dyDescent="0.25">
      <c r="B70" s="2"/>
      <c r="C70" s="2"/>
      <c r="D70" s="6" t="s">
        <v>1</v>
      </c>
      <c r="E70" s="6" t="s">
        <v>23</v>
      </c>
      <c r="F70" s="6" t="s">
        <v>1</v>
      </c>
      <c r="G70" s="6" t="s">
        <v>23</v>
      </c>
      <c r="H70" s="2"/>
    </row>
    <row r="71" spans="2:8" x14ac:dyDescent="0.25">
      <c r="B71" s="2"/>
      <c r="C71" s="3" t="s">
        <v>17</v>
      </c>
      <c r="D71" s="10">
        <f>Werte!D58/100</f>
        <v>0.5</v>
      </c>
      <c r="E71" s="10">
        <f>1-D71</f>
        <v>0.5</v>
      </c>
      <c r="F71" s="10">
        <f>Werte!D58/100</f>
        <v>0.5</v>
      </c>
      <c r="G71" s="10">
        <f>1-F71</f>
        <v>0.5</v>
      </c>
      <c r="H71" s="2"/>
    </row>
    <row r="72" spans="2:8" x14ac:dyDescent="0.25">
      <c r="B72" s="2"/>
      <c r="C72" s="3" t="s">
        <v>74</v>
      </c>
      <c r="D72" s="11">
        <f>D69*D71</f>
        <v>118.3159722222219</v>
      </c>
      <c r="E72" s="11">
        <f>D69*E71</f>
        <v>118.3159722222219</v>
      </c>
      <c r="F72" s="11">
        <f>F69*F71</f>
        <v>59.151954602774268</v>
      </c>
      <c r="G72" s="11">
        <f>F69*G71</f>
        <v>59.151954602774268</v>
      </c>
      <c r="H72" s="2"/>
    </row>
    <row r="73" spans="2:8" x14ac:dyDescent="0.25">
      <c r="B73" s="2"/>
      <c r="C73" s="3" t="s">
        <v>65</v>
      </c>
      <c r="D73" s="6">
        <f>1+Werte!D22^2/200</f>
        <v>1.0144500000000001</v>
      </c>
      <c r="E73" s="6">
        <f>1+Werte!D22^2/200</f>
        <v>1.0144500000000001</v>
      </c>
      <c r="F73" s="6">
        <f>1+Werte!D22^2/200</f>
        <v>1.0144500000000001</v>
      </c>
      <c r="G73" s="6">
        <f>1+Werte!D22^2/200</f>
        <v>1.0144500000000001</v>
      </c>
      <c r="H73" s="2"/>
    </row>
    <row r="74" spans="2:8" x14ac:dyDescent="0.25">
      <c r="B74" s="2"/>
      <c r="C74" s="3" t="s">
        <v>70</v>
      </c>
      <c r="D74" s="14">
        <f>1+D25/100</f>
        <v>1.01</v>
      </c>
      <c r="E74" s="14">
        <f>1+E25/100</f>
        <v>1.01</v>
      </c>
      <c r="F74" s="14">
        <f>1+D25/100</f>
        <v>1.01</v>
      </c>
      <c r="G74" s="14">
        <f>1+E25/100</f>
        <v>1.01</v>
      </c>
      <c r="H74" s="2"/>
    </row>
    <row r="75" spans="2:8" x14ac:dyDescent="0.25">
      <c r="B75" s="2"/>
      <c r="C75" s="3" t="s">
        <v>71</v>
      </c>
      <c r="D75" s="11">
        <f>D72*D73*D74</f>
        <v>121.22589440104134</v>
      </c>
      <c r="E75" s="11">
        <f>E72*E73*E74</f>
        <v>121.22589440104134</v>
      </c>
      <c r="F75" s="11">
        <f>F72*F73*F74</f>
        <v>60.606767350252206</v>
      </c>
      <c r="G75" s="11">
        <f>G72*G73*G74</f>
        <v>60.606767350252206</v>
      </c>
      <c r="H75" s="2"/>
    </row>
    <row r="76" spans="2:8" x14ac:dyDescent="0.25">
      <c r="B76" s="2"/>
      <c r="C76" s="2"/>
      <c r="D76" s="6"/>
      <c r="E76" s="6"/>
      <c r="F76" s="6"/>
      <c r="G76" s="6"/>
      <c r="H76" s="2"/>
    </row>
    <row r="77" spans="2:8" x14ac:dyDescent="0.25">
      <c r="B77" s="2"/>
      <c r="C77" s="2"/>
      <c r="D77" s="2"/>
      <c r="E77" s="2"/>
      <c r="F77" s="2"/>
      <c r="G77" s="2"/>
      <c r="H77" s="2"/>
    </row>
    <row r="78" spans="2:8" ht="21" x14ac:dyDescent="0.35">
      <c r="B78" s="2"/>
      <c r="C78" s="5" t="s">
        <v>43</v>
      </c>
      <c r="D78" s="2"/>
      <c r="E78" s="2"/>
      <c r="F78" s="2"/>
      <c r="G78" s="2"/>
      <c r="H78" s="2"/>
    </row>
    <row r="79" spans="2:8" x14ac:dyDescent="0.25">
      <c r="B79" s="2"/>
      <c r="C79" s="2"/>
      <c r="D79" s="6" t="s">
        <v>24</v>
      </c>
      <c r="E79" s="6"/>
      <c r="F79" s="6" t="s">
        <v>29</v>
      </c>
      <c r="G79" s="6"/>
      <c r="H79" s="2"/>
    </row>
    <row r="80" spans="2:8" x14ac:dyDescent="0.25">
      <c r="B80" s="2"/>
      <c r="C80" s="2"/>
      <c r="D80" s="6" t="s">
        <v>1</v>
      </c>
      <c r="E80" s="6" t="s">
        <v>23</v>
      </c>
      <c r="F80" s="6" t="s">
        <v>1</v>
      </c>
      <c r="G80" s="6" t="s">
        <v>23</v>
      </c>
      <c r="H80" s="2"/>
    </row>
    <row r="81" spans="2:8" x14ac:dyDescent="0.25">
      <c r="B81" s="2"/>
      <c r="C81" s="3" t="s">
        <v>17</v>
      </c>
      <c r="D81" s="6">
        <f>Werte!D5/100</f>
        <v>0.5</v>
      </c>
      <c r="E81" s="6">
        <f>1-D81</f>
        <v>0.5</v>
      </c>
      <c r="F81" s="6">
        <f>Werte!D5/100</f>
        <v>0.5</v>
      </c>
      <c r="G81" s="6">
        <f>1-F81</f>
        <v>0.5</v>
      </c>
      <c r="H81" s="2"/>
    </row>
    <row r="82" spans="2:8" x14ac:dyDescent="0.25">
      <c r="B82" s="2"/>
      <c r="C82" s="3" t="s">
        <v>73</v>
      </c>
      <c r="D82" s="6">
        <f>Werte!D63*D81</f>
        <v>9.25</v>
      </c>
      <c r="E82" s="6">
        <f>Werte!D63*E81</f>
        <v>9.25</v>
      </c>
      <c r="F82" s="6">
        <f>Werte!E63*F81</f>
        <v>6.5</v>
      </c>
      <c r="G82" s="6">
        <f>Werte!E63*G81</f>
        <v>6.5</v>
      </c>
      <c r="H82" s="2"/>
    </row>
    <row r="83" spans="2:8" x14ac:dyDescent="0.25">
      <c r="B83" s="2"/>
      <c r="C83" s="3" t="s">
        <v>65</v>
      </c>
      <c r="D83" s="6">
        <f>1+Werte!D22^2/85</f>
        <v>1.034</v>
      </c>
      <c r="E83" s="6">
        <f>1+Werte!D22^2/85</f>
        <v>1.034</v>
      </c>
      <c r="F83" s="6">
        <f>1+Werte!D22^2/200</f>
        <v>1.0144500000000001</v>
      </c>
      <c r="G83" s="6">
        <f>1+Werte!D22^2/200</f>
        <v>1.0144500000000001</v>
      </c>
      <c r="H83" s="2"/>
    </row>
    <row r="84" spans="2:8" x14ac:dyDescent="0.25">
      <c r="B84" s="2"/>
      <c r="C84" s="3" t="s">
        <v>70</v>
      </c>
      <c r="D84" s="6">
        <f>1+D25/15</f>
        <v>1.0666666666666667</v>
      </c>
      <c r="E84" s="6">
        <f>1+E25/15</f>
        <v>1.0666666666666667</v>
      </c>
      <c r="F84" s="6">
        <f>1+D25/100</f>
        <v>1.01</v>
      </c>
      <c r="G84" s="6">
        <f>1+E25/100</f>
        <v>1.01</v>
      </c>
      <c r="H84" s="2"/>
    </row>
    <row r="85" spans="2:8" x14ac:dyDescent="0.25">
      <c r="B85" s="2"/>
      <c r="C85" s="3" t="s">
        <v>44</v>
      </c>
      <c r="D85" s="11">
        <f>D82*D83*D84</f>
        <v>10.202133333333334</v>
      </c>
      <c r="E85" s="11">
        <f>E82*E83*E84</f>
        <v>10.202133333333334</v>
      </c>
      <c r="F85" s="11">
        <f>F82*F83*F84</f>
        <v>6.6598642500000009</v>
      </c>
      <c r="G85" s="11">
        <f>G82*G83*G84</f>
        <v>6.6598642500000009</v>
      </c>
      <c r="H85" s="2"/>
    </row>
    <row r="86" spans="2:8" x14ac:dyDescent="0.25">
      <c r="B86" s="2"/>
      <c r="C86" s="3" t="s">
        <v>45</v>
      </c>
      <c r="D86" s="11">
        <f>D85*0.56</f>
        <v>5.7131946666666673</v>
      </c>
      <c r="E86" s="11">
        <f>E85*0.56</f>
        <v>5.7131946666666673</v>
      </c>
      <c r="F86" s="11">
        <f>F85*0.63</f>
        <v>4.195714477500001</v>
      </c>
      <c r="G86" s="11">
        <f>G85*0.63</f>
        <v>4.195714477500001</v>
      </c>
      <c r="H86" s="2"/>
    </row>
    <row r="87" spans="2:8" x14ac:dyDescent="0.25">
      <c r="B87" s="2"/>
      <c r="C87" s="2"/>
      <c r="D87" s="6"/>
      <c r="E87" s="6"/>
      <c r="F87" s="6"/>
      <c r="G87" s="6"/>
      <c r="H87" s="2"/>
    </row>
    <row r="88" spans="2:8" x14ac:dyDescent="0.25">
      <c r="B88" s="2"/>
      <c r="C88" s="2"/>
      <c r="D88" s="6"/>
      <c r="E88" s="6"/>
      <c r="F88" s="6"/>
      <c r="G88" s="6"/>
      <c r="H88" s="2"/>
    </row>
    <row r="89" spans="2:8" ht="21" x14ac:dyDescent="0.35">
      <c r="B89" s="2"/>
      <c r="C89" s="5" t="s">
        <v>46</v>
      </c>
      <c r="D89" s="6"/>
      <c r="E89" s="6"/>
      <c r="F89" s="6"/>
      <c r="G89" s="6"/>
      <c r="H89" s="2"/>
    </row>
    <row r="90" spans="2:8" x14ac:dyDescent="0.25">
      <c r="B90" s="2"/>
      <c r="C90" s="2"/>
      <c r="D90" s="6" t="s">
        <v>17</v>
      </c>
      <c r="E90" s="6" t="s">
        <v>47</v>
      </c>
      <c r="F90" s="2"/>
      <c r="G90" s="2"/>
      <c r="H90" s="2"/>
    </row>
    <row r="91" spans="2:8" x14ac:dyDescent="0.25">
      <c r="B91" s="2"/>
      <c r="C91" s="3" t="s">
        <v>75</v>
      </c>
      <c r="D91" s="6">
        <f>(Werte!D72*Werte!D72/2)/2</f>
        <v>0.72249999999999992</v>
      </c>
      <c r="E91" s="6">
        <f>(Werte!D72*Werte!D72/2)/2</f>
        <v>0.72249999999999992</v>
      </c>
      <c r="F91" s="2"/>
      <c r="G91" s="2"/>
      <c r="H91" s="2"/>
    </row>
    <row r="92" spans="2:8" x14ac:dyDescent="0.25">
      <c r="B92" s="2"/>
      <c r="C92" s="3" t="s">
        <v>76</v>
      </c>
      <c r="D92" s="6">
        <f>IF(D91&lt;1,(D91/100-1)*-1,D91/100+1)</f>
        <v>0.99277499999999996</v>
      </c>
      <c r="E92" s="6">
        <f>15*E91</f>
        <v>10.837499999999999</v>
      </c>
      <c r="F92" s="2"/>
      <c r="G92" s="2"/>
      <c r="H92" s="2"/>
    </row>
    <row r="93" spans="2:8" x14ac:dyDescent="0.25">
      <c r="B93" s="2"/>
      <c r="C93" s="3" t="s">
        <v>77</v>
      </c>
      <c r="D93" s="6">
        <f>E45*100</f>
        <v>50</v>
      </c>
      <c r="E93" s="6" t="s">
        <v>79</v>
      </c>
      <c r="F93" s="6"/>
      <c r="G93" s="2"/>
      <c r="H93" s="2"/>
    </row>
    <row r="94" spans="2:8" x14ac:dyDescent="0.25">
      <c r="B94" s="2"/>
      <c r="C94" s="3" t="s">
        <v>78</v>
      </c>
      <c r="D94" s="6">
        <f>E4*100</f>
        <v>50</v>
      </c>
      <c r="E94" s="6" t="s">
        <v>79</v>
      </c>
      <c r="F94" s="6"/>
      <c r="G94" s="2"/>
      <c r="H94" s="2"/>
    </row>
    <row r="95" spans="2:8" x14ac:dyDescent="0.25">
      <c r="B95" s="2"/>
      <c r="C95" s="3" t="s">
        <v>16</v>
      </c>
      <c r="D95" s="7">
        <f>(50/(100/(D93+D94)))*D92</f>
        <v>49.638750000000002</v>
      </c>
      <c r="E95" s="6">
        <f>90+E92</f>
        <v>100.83750000000001</v>
      </c>
      <c r="F95" s="6"/>
      <c r="G95" s="2"/>
      <c r="H95" s="2"/>
    </row>
    <row r="96" spans="2:8" x14ac:dyDescent="0.25">
      <c r="B96" s="2"/>
      <c r="C96" s="2"/>
      <c r="D96" s="6"/>
      <c r="E96" s="6"/>
      <c r="F96" s="6"/>
      <c r="G96" s="6"/>
      <c r="H96" s="2"/>
    </row>
    <row r="97" spans="2:8" x14ac:dyDescent="0.25">
      <c r="B97" s="2"/>
      <c r="C97" s="2"/>
      <c r="D97" s="6"/>
      <c r="E97" s="6"/>
      <c r="F97" s="6"/>
      <c r="G97" s="6"/>
      <c r="H97" s="2"/>
    </row>
    <row r="98" spans="2:8" ht="21" x14ac:dyDescent="0.35">
      <c r="B98" s="2"/>
      <c r="C98" s="5" t="s">
        <v>48</v>
      </c>
      <c r="D98" s="6"/>
      <c r="E98" s="6"/>
      <c r="F98" s="6"/>
      <c r="G98" s="6"/>
      <c r="H98" s="2"/>
    </row>
    <row r="99" spans="2:8" x14ac:dyDescent="0.25">
      <c r="B99" s="2"/>
      <c r="C99" s="2"/>
      <c r="D99" s="6" t="s">
        <v>66</v>
      </c>
      <c r="E99" s="6" t="s">
        <v>68</v>
      </c>
      <c r="F99" s="6"/>
      <c r="G99" s="6"/>
      <c r="H99" s="2"/>
    </row>
    <row r="100" spans="2:8" x14ac:dyDescent="0.25">
      <c r="B100" s="2"/>
      <c r="C100" s="3" t="s">
        <v>9</v>
      </c>
      <c r="D100" s="6">
        <f>Werte!D77</f>
        <v>1.7</v>
      </c>
      <c r="E100" s="6">
        <f>Werte!E77</f>
        <v>1.7</v>
      </c>
      <c r="F100" s="6"/>
      <c r="G100" s="6"/>
      <c r="H100" s="2"/>
    </row>
    <row r="101" spans="2:8" x14ac:dyDescent="0.25">
      <c r="B101" s="2"/>
      <c r="C101" s="3" t="s">
        <v>49</v>
      </c>
      <c r="D101" s="7">
        <f>Werte!D78/D100</f>
        <v>41.176470588235297</v>
      </c>
      <c r="E101" s="7">
        <f>Werte!E78/E100</f>
        <v>24.882352941176471</v>
      </c>
      <c r="F101" s="6"/>
      <c r="G101" s="6"/>
      <c r="H101" s="2"/>
    </row>
    <row r="102" spans="2:8" x14ac:dyDescent="0.25">
      <c r="B102" s="2"/>
      <c r="C102" s="3" t="s">
        <v>50</v>
      </c>
      <c r="D102" s="7">
        <f>D101*Werte!D79</f>
        <v>53.117647058823536</v>
      </c>
      <c r="E102" s="7">
        <f>E101*Werte!E79</f>
        <v>5.2252941176470591</v>
      </c>
      <c r="F102" s="7"/>
      <c r="G102" s="6"/>
      <c r="H102" s="2"/>
    </row>
    <row r="103" spans="2:8" x14ac:dyDescent="0.25">
      <c r="B103" s="2"/>
      <c r="C103" s="2"/>
      <c r="D103" s="6"/>
      <c r="E103" s="6"/>
      <c r="F103" s="6"/>
      <c r="G103" s="6"/>
      <c r="H103" s="2"/>
    </row>
    <row r="104" spans="2:8" x14ac:dyDescent="0.25">
      <c r="B104" s="2"/>
      <c r="C104" s="2"/>
      <c r="D104" s="2"/>
      <c r="E104" s="2"/>
      <c r="F104" s="6"/>
      <c r="G104" s="6"/>
      <c r="H104" s="2"/>
    </row>
    <row r="105" spans="2:8" x14ac:dyDescent="0.25">
      <c r="B105" s="2"/>
      <c r="C105" s="2"/>
      <c r="D105" s="6" t="s">
        <v>80</v>
      </c>
      <c r="E105" s="6" t="s">
        <v>81</v>
      </c>
      <c r="F105" s="6"/>
      <c r="G105" s="6"/>
      <c r="H105" s="2"/>
    </row>
    <row r="106" spans="2:8" x14ac:dyDescent="0.25">
      <c r="B106" s="2"/>
      <c r="C106" s="3" t="s">
        <v>9</v>
      </c>
      <c r="D106" s="6">
        <f>Werte!D83</f>
        <v>1.7</v>
      </c>
      <c r="E106" s="6">
        <f>Werte!E83</f>
        <v>1.7</v>
      </c>
      <c r="F106" s="6"/>
      <c r="G106" s="6"/>
      <c r="H106" s="2"/>
    </row>
    <row r="107" spans="2:8" x14ac:dyDescent="0.25">
      <c r="B107" s="2"/>
      <c r="C107" s="3" t="s">
        <v>49</v>
      </c>
      <c r="D107" s="7">
        <f>Werte!D84/D106</f>
        <v>17.647058823529413</v>
      </c>
      <c r="E107" s="7">
        <f>Werte!E84/E106</f>
        <v>41.176470588235297</v>
      </c>
      <c r="F107" s="6"/>
      <c r="G107" s="6"/>
      <c r="H107" s="2"/>
    </row>
    <row r="108" spans="2:8" x14ac:dyDescent="0.25">
      <c r="B108" s="2"/>
      <c r="C108" s="3" t="s">
        <v>50</v>
      </c>
      <c r="D108" s="7">
        <f>D107*Werte!D85</f>
        <v>7.2352941176470589</v>
      </c>
      <c r="E108" s="7">
        <f>E107*Werte!E85</f>
        <v>54.764705882352949</v>
      </c>
      <c r="F108" s="6"/>
      <c r="G108" s="6"/>
      <c r="H108" s="2"/>
    </row>
    <row r="109" spans="2:8" x14ac:dyDescent="0.25">
      <c r="B109" s="2"/>
      <c r="C109" s="3"/>
      <c r="D109" s="6"/>
      <c r="E109" s="6"/>
      <c r="F109" s="6"/>
      <c r="G109" s="6"/>
      <c r="H109" s="2"/>
    </row>
    <row r="110" spans="2:8" x14ac:dyDescent="0.25">
      <c r="B110" s="2"/>
      <c r="C110" s="3" t="s">
        <v>17</v>
      </c>
      <c r="D110" s="7">
        <f>(Werte!D87*E4*E45)+D106^3/3</f>
        <v>58.887666666666668</v>
      </c>
      <c r="E110" s="6"/>
      <c r="F110" s="6"/>
      <c r="G110" s="6"/>
      <c r="H110" s="2"/>
    </row>
    <row r="111" spans="2:8" x14ac:dyDescent="0.25">
      <c r="B111" s="2"/>
      <c r="C111" s="2"/>
      <c r="D111" s="6"/>
      <c r="E111" s="6"/>
      <c r="F111" s="6"/>
      <c r="G111" s="6"/>
      <c r="H111" s="2"/>
    </row>
  </sheetData>
  <mergeCells count="5">
    <mergeCell ref="D57:E57"/>
    <mergeCell ref="D58:E58"/>
    <mergeCell ref="D69:E69"/>
    <mergeCell ref="F69:G69"/>
    <mergeCell ref="D52:E52"/>
  </mergeCells>
  <pageMargins left="0.7" right="0.7" top="0.78740157499999996" bottom="0.78740157499999996"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Calculator</vt:lpstr>
      <vt:lpstr>Werte</vt:lpstr>
      <vt:lpstr>Formeln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2022-12-03T12:57:02Z</dcterms:created>
  <dcterms:modified xsi:type="dcterms:W3CDTF">2023-03-06T11:18:47Z</dcterms:modified>
</cp:coreProperties>
</file>