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N:\Kühler\"/>
    </mc:Choice>
  </mc:AlternateContent>
  <xr:revisionPtr revIDLastSave="0" documentId="13_ncr:1_{10625D65-B9B0-469D-9FCE-3687436AB1B8}" xr6:coauthVersionLast="45" xr6:coauthVersionMax="45" xr10:uidLastSave="{00000000-0000-0000-0000-000000000000}"/>
  <bookViews>
    <workbookView xWindow="9200" yWindow="1570" windowWidth="28490" windowHeight="16070" xr2:uid="{7E463897-BF0B-4271-8254-D3B4B459AB08}"/>
  </bookViews>
  <sheets>
    <sheet name="Tabelle1" sheetId="1" r:id="rId1"/>
    <sheet name="Vergleich " sheetId="2" r:id="rId2"/>
    <sheet name="Restriktionsanteil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4" i="1" l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23" i="1"/>
  <c r="AU523" i="1"/>
  <c r="AS523" i="1"/>
  <c r="AU522" i="1"/>
  <c r="AS522" i="1"/>
  <c r="AU521" i="1"/>
  <c r="AS521" i="1"/>
  <c r="AU520" i="1"/>
  <c r="AS520" i="1"/>
  <c r="AU519" i="1"/>
  <c r="AS519" i="1"/>
  <c r="AU518" i="1"/>
  <c r="AS518" i="1"/>
  <c r="AU517" i="1"/>
  <c r="AS517" i="1"/>
  <c r="AU516" i="1"/>
  <c r="AS516" i="1"/>
  <c r="AU515" i="1"/>
  <c r="AS515" i="1"/>
  <c r="AU514" i="1"/>
  <c r="AS514" i="1"/>
  <c r="AU513" i="1"/>
  <c r="AS513" i="1"/>
  <c r="AU512" i="1"/>
  <c r="AS512" i="1"/>
  <c r="AU511" i="1"/>
  <c r="AS511" i="1"/>
  <c r="AU510" i="1"/>
  <c r="AS510" i="1"/>
  <c r="AU509" i="1"/>
  <c r="AS509" i="1"/>
  <c r="AU508" i="1"/>
  <c r="AS508" i="1"/>
  <c r="AU507" i="1"/>
  <c r="AS507" i="1"/>
  <c r="AU506" i="1"/>
  <c r="AS506" i="1"/>
  <c r="AU505" i="1"/>
  <c r="AS505" i="1"/>
  <c r="AU504" i="1"/>
  <c r="AS504" i="1"/>
  <c r="AU503" i="1"/>
  <c r="AS503" i="1"/>
  <c r="AU502" i="1"/>
  <c r="AS502" i="1"/>
  <c r="AU501" i="1"/>
  <c r="AS501" i="1"/>
  <c r="AU500" i="1"/>
  <c r="AS500" i="1"/>
  <c r="AU499" i="1"/>
  <c r="AS499" i="1"/>
  <c r="AU498" i="1"/>
  <c r="AS498" i="1"/>
  <c r="AU497" i="1"/>
  <c r="AS497" i="1"/>
  <c r="AU496" i="1"/>
  <c r="AS496" i="1"/>
  <c r="AU495" i="1"/>
  <c r="AS495" i="1"/>
  <c r="AU494" i="1"/>
  <c r="AS494" i="1"/>
  <c r="AU493" i="1"/>
  <c r="AS493" i="1"/>
  <c r="AU492" i="1"/>
  <c r="AS492" i="1"/>
  <c r="AU491" i="1"/>
  <c r="AS491" i="1"/>
  <c r="AU490" i="1"/>
  <c r="AS490" i="1"/>
  <c r="AU489" i="1"/>
  <c r="AS489" i="1"/>
  <c r="AU488" i="1"/>
  <c r="AS488" i="1"/>
  <c r="AU487" i="1"/>
  <c r="AS487" i="1"/>
  <c r="AU486" i="1"/>
  <c r="AS486" i="1"/>
  <c r="AU485" i="1"/>
  <c r="AS485" i="1"/>
  <c r="AU484" i="1"/>
  <c r="AS484" i="1"/>
  <c r="AU483" i="1"/>
  <c r="AS483" i="1"/>
  <c r="AU482" i="1"/>
  <c r="AS482" i="1"/>
  <c r="AU481" i="1"/>
  <c r="AS481" i="1"/>
  <c r="AU480" i="1"/>
  <c r="AS480" i="1"/>
  <c r="AU479" i="1"/>
  <c r="AS479" i="1"/>
  <c r="AU478" i="1"/>
  <c r="AS478" i="1"/>
  <c r="AU477" i="1"/>
  <c r="AS477" i="1"/>
  <c r="AU476" i="1"/>
  <c r="AS476" i="1"/>
  <c r="AU475" i="1"/>
  <c r="AS475" i="1"/>
  <c r="AU474" i="1"/>
  <c r="AS474" i="1"/>
  <c r="AU473" i="1"/>
  <c r="AS473" i="1"/>
  <c r="AU472" i="1"/>
  <c r="AS472" i="1"/>
  <c r="AU471" i="1"/>
  <c r="AS471" i="1"/>
  <c r="AU470" i="1"/>
  <c r="AS470" i="1"/>
  <c r="AU469" i="1"/>
  <c r="AS469" i="1"/>
  <c r="AU468" i="1"/>
  <c r="AS468" i="1"/>
  <c r="AU467" i="1"/>
  <c r="AS467" i="1"/>
  <c r="AU466" i="1"/>
  <c r="AS466" i="1"/>
  <c r="AU465" i="1"/>
  <c r="AS465" i="1"/>
  <c r="AU464" i="1"/>
  <c r="AS464" i="1"/>
  <c r="AU463" i="1"/>
  <c r="AS463" i="1"/>
  <c r="AU462" i="1"/>
  <c r="AS462" i="1"/>
  <c r="AU461" i="1"/>
  <c r="AS461" i="1"/>
  <c r="AU460" i="1"/>
  <c r="AS460" i="1"/>
  <c r="AU459" i="1"/>
  <c r="AS459" i="1"/>
  <c r="AU458" i="1"/>
  <c r="AS458" i="1"/>
  <c r="AU457" i="1"/>
  <c r="AS457" i="1"/>
  <c r="AU456" i="1"/>
  <c r="AS456" i="1"/>
  <c r="AU455" i="1"/>
  <c r="AS455" i="1"/>
  <c r="AU454" i="1"/>
  <c r="AS454" i="1"/>
  <c r="AU453" i="1"/>
  <c r="AS453" i="1"/>
  <c r="AU452" i="1"/>
  <c r="AS452" i="1"/>
  <c r="AU451" i="1"/>
  <c r="AS451" i="1"/>
  <c r="AU450" i="1"/>
  <c r="AS450" i="1"/>
  <c r="AU449" i="1"/>
  <c r="AS449" i="1"/>
  <c r="AU448" i="1"/>
  <c r="AS448" i="1"/>
  <c r="AU447" i="1"/>
  <c r="AS447" i="1"/>
  <c r="AU446" i="1"/>
  <c r="AS446" i="1"/>
  <c r="AU445" i="1"/>
  <c r="AS445" i="1"/>
  <c r="AU444" i="1"/>
  <c r="AS444" i="1"/>
  <c r="AU443" i="1"/>
  <c r="AS443" i="1"/>
  <c r="AU442" i="1"/>
  <c r="AS442" i="1"/>
  <c r="AU441" i="1"/>
  <c r="AS441" i="1"/>
  <c r="AU440" i="1"/>
  <c r="AS440" i="1"/>
  <c r="AU439" i="1"/>
  <c r="AS439" i="1"/>
  <c r="AU438" i="1"/>
  <c r="AS438" i="1"/>
  <c r="AU437" i="1"/>
  <c r="AS437" i="1"/>
  <c r="AU436" i="1"/>
  <c r="AS436" i="1"/>
  <c r="AU435" i="1"/>
  <c r="AS435" i="1"/>
  <c r="AU434" i="1"/>
  <c r="AS434" i="1"/>
  <c r="AU433" i="1"/>
  <c r="AS433" i="1"/>
  <c r="AU432" i="1"/>
  <c r="AS432" i="1"/>
  <c r="AU431" i="1"/>
  <c r="AS431" i="1"/>
  <c r="AU430" i="1"/>
  <c r="AS430" i="1"/>
  <c r="AU429" i="1"/>
  <c r="AS429" i="1"/>
  <c r="AU428" i="1"/>
  <c r="AS428" i="1"/>
  <c r="AU427" i="1"/>
  <c r="AS427" i="1"/>
  <c r="AU426" i="1"/>
  <c r="AS426" i="1"/>
  <c r="AU425" i="1"/>
  <c r="AS425" i="1"/>
  <c r="AU424" i="1"/>
  <c r="AS424" i="1"/>
  <c r="AU423" i="1"/>
  <c r="AS423" i="1"/>
  <c r="AU422" i="1"/>
  <c r="AS422" i="1"/>
  <c r="AU421" i="1"/>
  <c r="AS421" i="1"/>
  <c r="AU420" i="1"/>
  <c r="AS420" i="1"/>
  <c r="AU419" i="1"/>
  <c r="AS419" i="1"/>
  <c r="AU418" i="1"/>
  <c r="AS418" i="1"/>
  <c r="AU417" i="1"/>
  <c r="AS417" i="1"/>
  <c r="AU416" i="1"/>
  <c r="AS416" i="1"/>
  <c r="AU415" i="1"/>
  <c r="AS415" i="1"/>
  <c r="AU414" i="1"/>
  <c r="AS414" i="1"/>
  <c r="AU413" i="1"/>
  <c r="AS413" i="1"/>
  <c r="AU412" i="1"/>
  <c r="AS412" i="1"/>
  <c r="AU411" i="1"/>
  <c r="AS411" i="1"/>
  <c r="AU410" i="1"/>
  <c r="AS410" i="1"/>
  <c r="AU409" i="1"/>
  <c r="AS409" i="1"/>
  <c r="AU408" i="1"/>
  <c r="AS408" i="1"/>
  <c r="AU407" i="1"/>
  <c r="AS407" i="1"/>
  <c r="AU406" i="1"/>
  <c r="AS406" i="1"/>
  <c r="AU405" i="1"/>
  <c r="AS405" i="1"/>
  <c r="AU404" i="1"/>
  <c r="AS404" i="1"/>
  <c r="AU403" i="1"/>
  <c r="AS403" i="1"/>
  <c r="AU402" i="1"/>
  <c r="AS402" i="1"/>
  <c r="AU401" i="1"/>
  <c r="AS401" i="1"/>
  <c r="AU400" i="1"/>
  <c r="AS400" i="1"/>
  <c r="AU399" i="1"/>
  <c r="AS399" i="1"/>
  <c r="AU398" i="1"/>
  <c r="AS398" i="1"/>
  <c r="AU397" i="1"/>
  <c r="AS397" i="1"/>
  <c r="AU396" i="1"/>
  <c r="AS396" i="1"/>
  <c r="AU395" i="1"/>
  <c r="AS395" i="1"/>
  <c r="AU394" i="1"/>
  <c r="AS394" i="1"/>
  <c r="AU393" i="1"/>
  <c r="AS393" i="1"/>
  <c r="AU392" i="1"/>
  <c r="AS392" i="1"/>
  <c r="AU391" i="1"/>
  <c r="AS391" i="1"/>
  <c r="AU390" i="1"/>
  <c r="AS390" i="1"/>
  <c r="AU389" i="1"/>
  <c r="AS389" i="1"/>
  <c r="AU388" i="1"/>
  <c r="AS388" i="1"/>
  <c r="AU387" i="1"/>
  <c r="AS387" i="1"/>
  <c r="AU386" i="1"/>
  <c r="AS386" i="1"/>
  <c r="AU385" i="1"/>
  <c r="AS385" i="1"/>
  <c r="AU384" i="1"/>
  <c r="AS384" i="1"/>
  <c r="AU383" i="1"/>
  <c r="AS383" i="1"/>
  <c r="AU382" i="1"/>
  <c r="AS382" i="1"/>
  <c r="AU381" i="1"/>
  <c r="AS381" i="1"/>
  <c r="AU380" i="1"/>
  <c r="AS380" i="1"/>
  <c r="AU379" i="1"/>
  <c r="AS379" i="1"/>
  <c r="AU378" i="1"/>
  <c r="AS378" i="1"/>
  <c r="AU377" i="1"/>
  <c r="AS377" i="1"/>
  <c r="AU376" i="1"/>
  <c r="AS376" i="1"/>
  <c r="AU375" i="1"/>
  <c r="AS375" i="1"/>
  <c r="AU374" i="1"/>
  <c r="AS374" i="1"/>
  <c r="AU373" i="1"/>
  <c r="AS373" i="1"/>
  <c r="AU372" i="1"/>
  <c r="AS372" i="1"/>
  <c r="AU371" i="1"/>
  <c r="AS371" i="1"/>
  <c r="AU370" i="1"/>
  <c r="AS370" i="1"/>
  <c r="AU369" i="1"/>
  <c r="AS369" i="1"/>
  <c r="AU368" i="1"/>
  <c r="AS368" i="1"/>
  <c r="AU367" i="1"/>
  <c r="AS367" i="1"/>
  <c r="AU366" i="1"/>
  <c r="AS366" i="1"/>
  <c r="AU365" i="1"/>
  <c r="AS365" i="1"/>
  <c r="AU364" i="1"/>
  <c r="AS364" i="1"/>
  <c r="AU363" i="1"/>
  <c r="AS363" i="1"/>
  <c r="AU362" i="1"/>
  <c r="AS362" i="1"/>
  <c r="AU361" i="1"/>
  <c r="AS361" i="1"/>
  <c r="AU360" i="1"/>
  <c r="AS360" i="1"/>
  <c r="AU359" i="1"/>
  <c r="AS359" i="1"/>
  <c r="AU358" i="1"/>
  <c r="AS358" i="1"/>
  <c r="AU357" i="1"/>
  <c r="AS357" i="1"/>
  <c r="AU356" i="1"/>
  <c r="AS356" i="1"/>
  <c r="AU355" i="1"/>
  <c r="AS355" i="1"/>
  <c r="AU354" i="1"/>
  <c r="AS354" i="1"/>
  <c r="AU353" i="1"/>
  <c r="AS353" i="1"/>
  <c r="AU352" i="1"/>
  <c r="AS352" i="1"/>
  <c r="AU351" i="1"/>
  <c r="AS351" i="1"/>
  <c r="AU350" i="1"/>
  <c r="AS350" i="1"/>
  <c r="AU349" i="1"/>
  <c r="AS349" i="1"/>
  <c r="AU348" i="1"/>
  <c r="AS348" i="1"/>
  <c r="AU347" i="1"/>
  <c r="AS347" i="1"/>
  <c r="AU346" i="1"/>
  <c r="AS346" i="1"/>
  <c r="AU345" i="1"/>
  <c r="AS345" i="1"/>
  <c r="AU344" i="1"/>
  <c r="AS344" i="1"/>
  <c r="AU343" i="1"/>
  <c r="AS343" i="1"/>
  <c r="AU342" i="1"/>
  <c r="AS342" i="1"/>
  <c r="AU341" i="1"/>
  <c r="AS341" i="1"/>
  <c r="AU340" i="1"/>
  <c r="AS340" i="1"/>
  <c r="AU339" i="1"/>
  <c r="AS339" i="1"/>
  <c r="AU338" i="1"/>
  <c r="AS338" i="1"/>
  <c r="AU337" i="1"/>
  <c r="AS337" i="1"/>
  <c r="AU336" i="1"/>
  <c r="AS336" i="1"/>
  <c r="AU335" i="1"/>
  <c r="AS335" i="1"/>
  <c r="AU334" i="1"/>
  <c r="AS334" i="1"/>
  <c r="AU333" i="1"/>
  <c r="AS333" i="1"/>
  <c r="AU332" i="1"/>
  <c r="AS332" i="1"/>
  <c r="AU331" i="1"/>
  <c r="AS331" i="1"/>
  <c r="AU330" i="1"/>
  <c r="AS330" i="1"/>
  <c r="AU329" i="1"/>
  <c r="AS329" i="1"/>
  <c r="AU328" i="1"/>
  <c r="AS328" i="1"/>
  <c r="AU327" i="1"/>
  <c r="AS327" i="1"/>
  <c r="AU326" i="1"/>
  <c r="AS326" i="1"/>
  <c r="AU325" i="1"/>
  <c r="AS325" i="1"/>
  <c r="AU324" i="1"/>
  <c r="AS324" i="1"/>
  <c r="AU323" i="1"/>
  <c r="AS323" i="1"/>
  <c r="AU322" i="1"/>
  <c r="AS322" i="1"/>
  <c r="AU321" i="1"/>
  <c r="AS321" i="1"/>
  <c r="AU320" i="1"/>
  <c r="AS320" i="1"/>
  <c r="AU319" i="1"/>
  <c r="AS319" i="1"/>
  <c r="AU318" i="1"/>
  <c r="AS318" i="1"/>
  <c r="AU317" i="1"/>
  <c r="AS317" i="1"/>
  <c r="AU316" i="1"/>
  <c r="AS316" i="1"/>
  <c r="AU315" i="1"/>
  <c r="AS315" i="1"/>
  <c r="AU314" i="1"/>
  <c r="AS314" i="1"/>
  <c r="AU313" i="1"/>
  <c r="AS313" i="1"/>
  <c r="AU312" i="1"/>
  <c r="AS312" i="1"/>
  <c r="AU311" i="1"/>
  <c r="AS311" i="1"/>
  <c r="AU310" i="1"/>
  <c r="AS310" i="1"/>
  <c r="AU309" i="1"/>
  <c r="AS309" i="1"/>
  <c r="AU308" i="1"/>
  <c r="AS308" i="1"/>
  <c r="AU307" i="1"/>
  <c r="AS307" i="1"/>
  <c r="AU306" i="1"/>
  <c r="AS306" i="1"/>
  <c r="AU305" i="1"/>
  <c r="AS305" i="1"/>
  <c r="AU304" i="1"/>
  <c r="AS304" i="1"/>
  <c r="AU303" i="1"/>
  <c r="AS303" i="1"/>
  <c r="AU302" i="1"/>
  <c r="AS302" i="1"/>
  <c r="AU301" i="1"/>
  <c r="AS301" i="1"/>
  <c r="AU300" i="1"/>
  <c r="AS300" i="1"/>
  <c r="AU299" i="1"/>
  <c r="AS299" i="1"/>
  <c r="AU298" i="1"/>
  <c r="AS298" i="1"/>
  <c r="AU297" i="1"/>
  <c r="AS297" i="1"/>
  <c r="AU296" i="1"/>
  <c r="AS296" i="1"/>
  <c r="AU295" i="1"/>
  <c r="AS295" i="1"/>
  <c r="AU294" i="1"/>
  <c r="AS294" i="1"/>
  <c r="AU293" i="1"/>
  <c r="AS293" i="1"/>
  <c r="AU292" i="1"/>
  <c r="AS292" i="1"/>
  <c r="AU291" i="1"/>
  <c r="AS291" i="1"/>
  <c r="AU290" i="1"/>
  <c r="AS290" i="1"/>
  <c r="AU289" i="1"/>
  <c r="AS289" i="1"/>
  <c r="AU288" i="1"/>
  <c r="AS288" i="1"/>
  <c r="AU287" i="1"/>
  <c r="AS287" i="1"/>
  <c r="AU286" i="1"/>
  <c r="AS286" i="1"/>
  <c r="AU285" i="1"/>
  <c r="AS285" i="1"/>
  <c r="AU284" i="1"/>
  <c r="AS284" i="1"/>
  <c r="AU283" i="1"/>
  <c r="AS283" i="1"/>
  <c r="AU282" i="1"/>
  <c r="AS282" i="1"/>
  <c r="AU281" i="1"/>
  <c r="AS281" i="1"/>
  <c r="AU280" i="1"/>
  <c r="AS280" i="1"/>
  <c r="AU279" i="1"/>
  <c r="AS279" i="1"/>
  <c r="AU278" i="1"/>
  <c r="AS278" i="1"/>
  <c r="AU277" i="1"/>
  <c r="AS277" i="1"/>
  <c r="AU276" i="1"/>
  <c r="AS276" i="1"/>
  <c r="AU275" i="1"/>
  <c r="AS275" i="1"/>
  <c r="AU274" i="1"/>
  <c r="AS274" i="1"/>
  <c r="AU273" i="1"/>
  <c r="AS273" i="1"/>
  <c r="AU272" i="1"/>
  <c r="AS272" i="1"/>
  <c r="AU271" i="1"/>
  <c r="AS271" i="1"/>
  <c r="AU270" i="1"/>
  <c r="AS270" i="1"/>
  <c r="AU269" i="1"/>
  <c r="AS269" i="1"/>
  <c r="AU268" i="1"/>
  <c r="AS268" i="1"/>
  <c r="AU267" i="1"/>
  <c r="AS267" i="1"/>
  <c r="AU266" i="1"/>
  <c r="AS266" i="1"/>
  <c r="AU265" i="1"/>
  <c r="AS265" i="1"/>
  <c r="AU264" i="1"/>
  <c r="AS264" i="1"/>
  <c r="AU263" i="1"/>
  <c r="AS263" i="1"/>
  <c r="AU262" i="1"/>
  <c r="AS262" i="1"/>
  <c r="AU261" i="1"/>
  <c r="AS261" i="1"/>
  <c r="AU260" i="1"/>
  <c r="AS260" i="1"/>
  <c r="AU259" i="1"/>
  <c r="AS259" i="1"/>
  <c r="AU258" i="1"/>
  <c r="AS258" i="1"/>
  <c r="AU257" i="1"/>
  <c r="AS257" i="1"/>
  <c r="AU256" i="1"/>
  <c r="AS256" i="1"/>
  <c r="AU255" i="1"/>
  <c r="AS255" i="1"/>
  <c r="AU254" i="1"/>
  <c r="AS254" i="1"/>
  <c r="AU253" i="1"/>
  <c r="AS253" i="1"/>
  <c r="AU252" i="1"/>
  <c r="AS252" i="1"/>
  <c r="AU251" i="1"/>
  <c r="AS251" i="1"/>
  <c r="AU250" i="1"/>
  <c r="AS250" i="1"/>
  <c r="AU249" i="1"/>
  <c r="AS249" i="1"/>
  <c r="AU248" i="1"/>
  <c r="AS248" i="1"/>
  <c r="AU247" i="1"/>
  <c r="AS247" i="1"/>
  <c r="AU246" i="1"/>
  <c r="AS246" i="1"/>
  <c r="AU245" i="1"/>
  <c r="AS245" i="1"/>
  <c r="AU244" i="1"/>
  <c r="AS244" i="1"/>
  <c r="AU243" i="1"/>
  <c r="AS243" i="1"/>
  <c r="AU242" i="1"/>
  <c r="AS242" i="1"/>
  <c r="AU241" i="1"/>
  <c r="AS241" i="1"/>
  <c r="AU240" i="1"/>
  <c r="AS240" i="1"/>
  <c r="AU239" i="1"/>
  <c r="AS239" i="1"/>
  <c r="AU238" i="1"/>
  <c r="AS238" i="1"/>
  <c r="AU237" i="1"/>
  <c r="AS237" i="1"/>
  <c r="AU236" i="1"/>
  <c r="AS236" i="1"/>
  <c r="AU235" i="1"/>
  <c r="AS235" i="1"/>
  <c r="AU234" i="1"/>
  <c r="AS234" i="1"/>
  <c r="AU233" i="1"/>
  <c r="AS233" i="1"/>
  <c r="AU232" i="1"/>
  <c r="AS232" i="1"/>
  <c r="AU231" i="1"/>
  <c r="AS231" i="1"/>
  <c r="AU230" i="1"/>
  <c r="AS230" i="1"/>
  <c r="AU229" i="1"/>
  <c r="AS229" i="1"/>
  <c r="AU228" i="1"/>
  <c r="AS228" i="1"/>
  <c r="AU227" i="1"/>
  <c r="AS227" i="1"/>
  <c r="AU226" i="1"/>
  <c r="AS226" i="1"/>
  <c r="AU225" i="1"/>
  <c r="AS225" i="1"/>
  <c r="AU224" i="1"/>
  <c r="AS224" i="1"/>
  <c r="AU223" i="1"/>
  <c r="AS223" i="1"/>
  <c r="AU222" i="1"/>
  <c r="AS222" i="1"/>
  <c r="AU221" i="1"/>
  <c r="AS221" i="1"/>
  <c r="AU220" i="1"/>
  <c r="AS220" i="1"/>
  <c r="AU219" i="1"/>
  <c r="AS219" i="1"/>
  <c r="AU218" i="1"/>
  <c r="AS218" i="1"/>
  <c r="AU217" i="1"/>
  <c r="AS217" i="1"/>
  <c r="AU216" i="1"/>
  <c r="AS216" i="1"/>
  <c r="AU215" i="1"/>
  <c r="AS215" i="1"/>
  <c r="AU214" i="1"/>
  <c r="AS214" i="1"/>
  <c r="AU213" i="1"/>
  <c r="AS213" i="1"/>
  <c r="AU212" i="1"/>
  <c r="AS212" i="1"/>
  <c r="AU211" i="1"/>
  <c r="AS211" i="1"/>
  <c r="AU210" i="1"/>
  <c r="AS210" i="1"/>
  <c r="AU209" i="1"/>
  <c r="AS209" i="1"/>
  <c r="AU208" i="1"/>
  <c r="AS208" i="1"/>
  <c r="AU207" i="1"/>
  <c r="AS207" i="1"/>
  <c r="AU206" i="1"/>
  <c r="AS206" i="1"/>
  <c r="AU205" i="1"/>
  <c r="AS205" i="1"/>
  <c r="AU204" i="1"/>
  <c r="AS204" i="1"/>
  <c r="AU203" i="1"/>
  <c r="AS203" i="1"/>
  <c r="AU202" i="1"/>
  <c r="AS202" i="1"/>
  <c r="AU201" i="1"/>
  <c r="AS201" i="1"/>
  <c r="AU200" i="1"/>
  <c r="AS200" i="1"/>
  <c r="AU199" i="1"/>
  <c r="AS199" i="1"/>
  <c r="AU198" i="1"/>
  <c r="AS198" i="1"/>
  <c r="AU197" i="1"/>
  <c r="AS197" i="1"/>
  <c r="AU196" i="1"/>
  <c r="AS196" i="1"/>
  <c r="AU195" i="1"/>
  <c r="AS195" i="1"/>
  <c r="AU194" i="1"/>
  <c r="AS194" i="1"/>
  <c r="AU193" i="1"/>
  <c r="AS193" i="1"/>
  <c r="AU192" i="1"/>
  <c r="AS192" i="1"/>
  <c r="AU191" i="1"/>
  <c r="AS191" i="1"/>
  <c r="AU190" i="1"/>
  <c r="AS190" i="1"/>
  <c r="AU189" i="1"/>
  <c r="AS189" i="1"/>
  <c r="AU188" i="1"/>
  <c r="AS188" i="1"/>
  <c r="AU187" i="1"/>
  <c r="AS187" i="1"/>
  <c r="AU186" i="1"/>
  <c r="AS186" i="1"/>
  <c r="AU185" i="1"/>
  <c r="AS185" i="1"/>
  <c r="AU184" i="1"/>
  <c r="AS184" i="1"/>
  <c r="AU183" i="1"/>
  <c r="AS183" i="1"/>
  <c r="AU182" i="1"/>
  <c r="AS182" i="1"/>
  <c r="AU181" i="1"/>
  <c r="AS181" i="1"/>
  <c r="AU180" i="1"/>
  <c r="AS180" i="1"/>
  <c r="AU179" i="1"/>
  <c r="AS179" i="1"/>
  <c r="AU178" i="1"/>
  <c r="AS178" i="1"/>
  <c r="AU177" i="1"/>
  <c r="AS177" i="1"/>
  <c r="AU176" i="1"/>
  <c r="AS176" i="1"/>
  <c r="AU175" i="1"/>
  <c r="AS175" i="1"/>
  <c r="AU174" i="1"/>
  <c r="AS174" i="1"/>
  <c r="AU173" i="1"/>
  <c r="AS173" i="1"/>
  <c r="AU172" i="1"/>
  <c r="AS172" i="1"/>
  <c r="AU171" i="1"/>
  <c r="AS171" i="1"/>
  <c r="AU170" i="1"/>
  <c r="AS170" i="1"/>
  <c r="AU169" i="1"/>
  <c r="AS169" i="1"/>
  <c r="AU168" i="1"/>
  <c r="AS168" i="1"/>
  <c r="AU167" i="1"/>
  <c r="AS167" i="1"/>
  <c r="AU166" i="1"/>
  <c r="AS166" i="1"/>
  <c r="AU165" i="1"/>
  <c r="AS165" i="1"/>
  <c r="AU164" i="1"/>
  <c r="AS164" i="1"/>
  <c r="AU163" i="1"/>
  <c r="AS163" i="1"/>
  <c r="AU162" i="1"/>
  <c r="AS162" i="1"/>
  <c r="AU161" i="1"/>
  <c r="AS161" i="1"/>
  <c r="AU160" i="1"/>
  <c r="AS160" i="1"/>
  <c r="AU159" i="1"/>
  <c r="AS159" i="1"/>
  <c r="AU158" i="1"/>
  <c r="AS158" i="1"/>
  <c r="AU157" i="1"/>
  <c r="AS157" i="1"/>
  <c r="AU156" i="1"/>
  <c r="AS156" i="1"/>
  <c r="AU155" i="1"/>
  <c r="AS155" i="1"/>
  <c r="AU154" i="1"/>
  <c r="AS154" i="1"/>
  <c r="AU153" i="1"/>
  <c r="AS153" i="1"/>
  <c r="AU152" i="1"/>
  <c r="AS152" i="1"/>
  <c r="AU151" i="1"/>
  <c r="AS151" i="1"/>
  <c r="AU150" i="1"/>
  <c r="AS150" i="1"/>
  <c r="AU149" i="1"/>
  <c r="AS149" i="1"/>
  <c r="AU148" i="1"/>
  <c r="AS148" i="1"/>
  <c r="AU147" i="1"/>
  <c r="AS147" i="1"/>
  <c r="AU146" i="1"/>
  <c r="AS146" i="1"/>
  <c r="AU145" i="1"/>
  <c r="AS145" i="1"/>
  <c r="AU144" i="1"/>
  <c r="AS144" i="1"/>
  <c r="AU143" i="1"/>
  <c r="AS143" i="1"/>
  <c r="AU142" i="1"/>
  <c r="AS142" i="1"/>
  <c r="AU141" i="1"/>
  <c r="AS141" i="1"/>
  <c r="AU140" i="1"/>
  <c r="AS140" i="1"/>
  <c r="AU139" i="1"/>
  <c r="AS139" i="1"/>
  <c r="AU138" i="1"/>
  <c r="AS138" i="1"/>
  <c r="AU137" i="1"/>
  <c r="AS137" i="1"/>
  <c r="AU136" i="1"/>
  <c r="AS136" i="1"/>
  <c r="AU135" i="1"/>
  <c r="AS135" i="1"/>
  <c r="AU134" i="1"/>
  <c r="AS134" i="1"/>
  <c r="AU133" i="1"/>
  <c r="AS133" i="1"/>
  <c r="AU132" i="1"/>
  <c r="AS132" i="1"/>
  <c r="AU131" i="1"/>
  <c r="AS131" i="1"/>
  <c r="AU130" i="1"/>
  <c r="AS130" i="1"/>
  <c r="AU129" i="1"/>
  <c r="AS129" i="1"/>
  <c r="AU128" i="1"/>
  <c r="AS128" i="1"/>
  <c r="AU127" i="1"/>
  <c r="AS127" i="1"/>
  <c r="AU126" i="1"/>
  <c r="AS126" i="1"/>
  <c r="AU125" i="1"/>
  <c r="AS125" i="1"/>
  <c r="AU124" i="1"/>
  <c r="AS124" i="1"/>
  <c r="AU123" i="1"/>
  <c r="AS123" i="1"/>
  <c r="AU122" i="1"/>
  <c r="AS122" i="1"/>
  <c r="AU121" i="1"/>
  <c r="AS121" i="1"/>
  <c r="AU120" i="1"/>
  <c r="AS120" i="1"/>
  <c r="AU119" i="1"/>
  <c r="AS119" i="1"/>
  <c r="AU118" i="1"/>
  <c r="AS118" i="1"/>
  <c r="AU117" i="1"/>
  <c r="AS117" i="1"/>
  <c r="AU116" i="1"/>
  <c r="AS116" i="1"/>
  <c r="AU115" i="1"/>
  <c r="AS115" i="1"/>
  <c r="AU114" i="1"/>
  <c r="AS114" i="1"/>
  <c r="AU113" i="1"/>
  <c r="AS113" i="1"/>
  <c r="AU112" i="1"/>
  <c r="AS112" i="1"/>
  <c r="AU111" i="1"/>
  <c r="AS111" i="1"/>
  <c r="AU110" i="1"/>
  <c r="AS110" i="1"/>
  <c r="AU109" i="1"/>
  <c r="AS109" i="1"/>
  <c r="AU108" i="1"/>
  <c r="AS108" i="1"/>
  <c r="AU107" i="1"/>
  <c r="AS107" i="1"/>
  <c r="AU106" i="1"/>
  <c r="AS106" i="1"/>
  <c r="AU105" i="1"/>
  <c r="AS105" i="1"/>
  <c r="AU104" i="1"/>
  <c r="AS104" i="1"/>
  <c r="AU103" i="1"/>
  <c r="AS103" i="1"/>
  <c r="AU102" i="1"/>
  <c r="AS102" i="1"/>
  <c r="AU101" i="1"/>
  <c r="AS101" i="1"/>
  <c r="AU100" i="1"/>
  <c r="AS100" i="1"/>
  <c r="AU99" i="1"/>
  <c r="AS99" i="1"/>
  <c r="AU98" i="1"/>
  <c r="AS98" i="1"/>
  <c r="AU97" i="1"/>
  <c r="AS97" i="1"/>
  <c r="AU96" i="1"/>
  <c r="AS96" i="1"/>
  <c r="AU95" i="1"/>
  <c r="AS95" i="1"/>
  <c r="AU94" i="1"/>
  <c r="AS94" i="1"/>
  <c r="AU93" i="1"/>
  <c r="AS93" i="1"/>
  <c r="AU92" i="1"/>
  <c r="AS92" i="1"/>
  <c r="AU91" i="1"/>
  <c r="AS91" i="1"/>
  <c r="AU90" i="1"/>
  <c r="AS90" i="1"/>
  <c r="AU89" i="1"/>
  <c r="AS89" i="1"/>
  <c r="AU88" i="1"/>
  <c r="AS88" i="1"/>
  <c r="AU87" i="1"/>
  <c r="AS87" i="1"/>
  <c r="AU86" i="1"/>
  <c r="AS86" i="1"/>
  <c r="AU85" i="1"/>
  <c r="AS85" i="1"/>
  <c r="AU84" i="1"/>
  <c r="AS84" i="1"/>
  <c r="AU83" i="1"/>
  <c r="AS83" i="1"/>
  <c r="AU82" i="1"/>
  <c r="AS82" i="1"/>
  <c r="AU81" i="1"/>
  <c r="AS81" i="1"/>
  <c r="AU80" i="1"/>
  <c r="AS80" i="1"/>
  <c r="AU79" i="1"/>
  <c r="AS79" i="1"/>
  <c r="AU78" i="1"/>
  <c r="AS78" i="1"/>
  <c r="AU77" i="1"/>
  <c r="AS77" i="1"/>
  <c r="AU76" i="1"/>
  <c r="AS76" i="1"/>
  <c r="AU75" i="1"/>
  <c r="AS75" i="1"/>
  <c r="AU74" i="1"/>
  <c r="AS74" i="1"/>
  <c r="AU73" i="1"/>
  <c r="AS73" i="1"/>
  <c r="AU72" i="1"/>
  <c r="AS72" i="1"/>
  <c r="AU71" i="1"/>
  <c r="AS71" i="1"/>
  <c r="AU70" i="1"/>
  <c r="AS70" i="1"/>
  <c r="AU69" i="1"/>
  <c r="AS69" i="1"/>
  <c r="AU68" i="1"/>
  <c r="AS68" i="1"/>
  <c r="AU67" i="1"/>
  <c r="AS67" i="1"/>
  <c r="AU66" i="1"/>
  <c r="AS66" i="1"/>
  <c r="AU65" i="1"/>
  <c r="AS65" i="1"/>
  <c r="AU64" i="1"/>
  <c r="AS64" i="1"/>
  <c r="AU63" i="1"/>
  <c r="AS63" i="1"/>
  <c r="AU62" i="1"/>
  <c r="AS62" i="1"/>
  <c r="AU61" i="1"/>
  <c r="AS61" i="1"/>
  <c r="AU60" i="1"/>
  <c r="AS60" i="1"/>
  <c r="AU59" i="1"/>
  <c r="AS59" i="1"/>
  <c r="AU58" i="1"/>
  <c r="AS58" i="1"/>
  <c r="AU57" i="1"/>
  <c r="AS57" i="1"/>
  <c r="AU56" i="1"/>
  <c r="AS56" i="1"/>
  <c r="AU55" i="1"/>
  <c r="AS55" i="1"/>
  <c r="AU54" i="1"/>
  <c r="AS54" i="1"/>
  <c r="AU53" i="1"/>
  <c r="AS53" i="1"/>
  <c r="AU52" i="1"/>
  <c r="AS52" i="1"/>
  <c r="AU51" i="1"/>
  <c r="AS51" i="1"/>
  <c r="AU50" i="1"/>
  <c r="AS50" i="1"/>
  <c r="AU49" i="1"/>
  <c r="AS49" i="1"/>
  <c r="AU48" i="1"/>
  <c r="AS48" i="1"/>
  <c r="AU47" i="1"/>
  <c r="AS47" i="1"/>
  <c r="AU46" i="1"/>
  <c r="AS46" i="1"/>
  <c r="AU45" i="1"/>
  <c r="AS45" i="1"/>
  <c r="AU44" i="1"/>
  <c r="AS44" i="1"/>
  <c r="AU43" i="1"/>
  <c r="AS43" i="1"/>
  <c r="AU42" i="1"/>
  <c r="AS42" i="1"/>
  <c r="AU41" i="1"/>
  <c r="AS41" i="1"/>
  <c r="AU40" i="1"/>
  <c r="AS40" i="1"/>
  <c r="AU39" i="1"/>
  <c r="AS39" i="1"/>
  <c r="AU38" i="1"/>
  <c r="AS38" i="1"/>
  <c r="AU37" i="1"/>
  <c r="AS37" i="1"/>
  <c r="AU36" i="1"/>
  <c r="AS36" i="1"/>
  <c r="AU35" i="1"/>
  <c r="AS35" i="1"/>
  <c r="AU34" i="1"/>
  <c r="AS34" i="1"/>
  <c r="AU33" i="1"/>
  <c r="AS33" i="1"/>
  <c r="AU32" i="1"/>
  <c r="AS32" i="1"/>
  <c r="AU31" i="1"/>
  <c r="AS31" i="1"/>
  <c r="AU30" i="1"/>
  <c r="AS30" i="1"/>
  <c r="AU29" i="1"/>
  <c r="AS29" i="1"/>
  <c r="AU28" i="1"/>
  <c r="AS28" i="1"/>
  <c r="AU27" i="1"/>
  <c r="AS27" i="1"/>
  <c r="AU26" i="1"/>
  <c r="AS26" i="1"/>
  <c r="AU25" i="1"/>
  <c r="AS25" i="1"/>
  <c r="AU24" i="1"/>
  <c r="AS24" i="1"/>
  <c r="AU23" i="1"/>
  <c r="AS23" i="1"/>
  <c r="AK71" i="1"/>
  <c r="AL71" i="1"/>
  <c r="AM71" i="1"/>
  <c r="AN71" i="1"/>
  <c r="AK72" i="1"/>
  <c r="AL72" i="1"/>
  <c r="AM72" i="1"/>
  <c r="AN72" i="1"/>
  <c r="AK73" i="1"/>
  <c r="AL73" i="1"/>
  <c r="AM73" i="1"/>
  <c r="AN73" i="1"/>
  <c r="AK74" i="1"/>
  <c r="AL74" i="1"/>
  <c r="AM74" i="1"/>
  <c r="AN74" i="1"/>
  <c r="AK75" i="1"/>
  <c r="AL75" i="1"/>
  <c r="AM75" i="1"/>
  <c r="AN75" i="1"/>
  <c r="AK76" i="1"/>
  <c r="AL76" i="1"/>
  <c r="AM76" i="1"/>
  <c r="AN76" i="1"/>
  <c r="AK77" i="1"/>
  <c r="AL77" i="1"/>
  <c r="AM77" i="1"/>
  <c r="AN77" i="1"/>
  <c r="AK78" i="1"/>
  <c r="AL78" i="1"/>
  <c r="AM78" i="1"/>
  <c r="AN78" i="1"/>
  <c r="AK79" i="1"/>
  <c r="AL79" i="1"/>
  <c r="AM79" i="1"/>
  <c r="AN79" i="1"/>
  <c r="AK80" i="1"/>
  <c r="AL80" i="1"/>
  <c r="AM80" i="1"/>
  <c r="AN80" i="1"/>
  <c r="AK81" i="1"/>
  <c r="AL81" i="1"/>
  <c r="AM81" i="1"/>
  <c r="AN81" i="1"/>
  <c r="AK82" i="1"/>
  <c r="AL82" i="1"/>
  <c r="AM82" i="1"/>
  <c r="AN82" i="1"/>
  <c r="AK83" i="1"/>
  <c r="AL83" i="1"/>
  <c r="AM83" i="1"/>
  <c r="AN83" i="1"/>
  <c r="AK84" i="1"/>
  <c r="AL84" i="1"/>
  <c r="AM84" i="1"/>
  <c r="AN84" i="1"/>
  <c r="AK85" i="1"/>
  <c r="AL85" i="1"/>
  <c r="AM85" i="1"/>
  <c r="AN85" i="1"/>
  <c r="AK86" i="1"/>
  <c r="AL86" i="1"/>
  <c r="AM86" i="1"/>
  <c r="AN86" i="1"/>
  <c r="AK87" i="1"/>
  <c r="AL87" i="1"/>
  <c r="AM87" i="1"/>
  <c r="AN87" i="1"/>
  <c r="AK88" i="1"/>
  <c r="AL88" i="1"/>
  <c r="AM88" i="1"/>
  <c r="AN88" i="1"/>
  <c r="AK89" i="1"/>
  <c r="AL89" i="1"/>
  <c r="AM89" i="1"/>
  <c r="AN89" i="1"/>
  <c r="AK90" i="1"/>
  <c r="AL90" i="1"/>
  <c r="AM90" i="1"/>
  <c r="AN90" i="1"/>
  <c r="AK91" i="1"/>
  <c r="AL91" i="1"/>
  <c r="AM91" i="1"/>
  <c r="AN91" i="1"/>
  <c r="AK92" i="1"/>
  <c r="AL92" i="1"/>
  <c r="AM92" i="1"/>
  <c r="AN92" i="1"/>
  <c r="AK93" i="1"/>
  <c r="AL93" i="1"/>
  <c r="AM93" i="1"/>
  <c r="AN93" i="1"/>
  <c r="AK94" i="1"/>
  <c r="AL94" i="1"/>
  <c r="AM94" i="1"/>
  <c r="AN94" i="1"/>
  <c r="AK156" i="1"/>
  <c r="AL156" i="1"/>
  <c r="AM156" i="1"/>
  <c r="AN156" i="1"/>
  <c r="AK162" i="1"/>
  <c r="AL162" i="1"/>
  <c r="AM162" i="1"/>
  <c r="AN162" i="1"/>
  <c r="AK168" i="1"/>
  <c r="AL168" i="1"/>
  <c r="AM168" i="1"/>
  <c r="AN168" i="1"/>
  <c r="AK174" i="1"/>
  <c r="AL174" i="1"/>
  <c r="AM174" i="1"/>
  <c r="AN174" i="1"/>
  <c r="AK180" i="1"/>
  <c r="AL180" i="1"/>
  <c r="AM180" i="1"/>
  <c r="AN180" i="1"/>
  <c r="AK186" i="1"/>
  <c r="AL186" i="1"/>
  <c r="AM186" i="1"/>
  <c r="AN186" i="1"/>
  <c r="AK192" i="1"/>
  <c r="AL192" i="1"/>
  <c r="AM192" i="1"/>
  <c r="AN192" i="1"/>
  <c r="AK198" i="1"/>
  <c r="AL198" i="1"/>
  <c r="AM198" i="1"/>
  <c r="AN198" i="1"/>
  <c r="AK204" i="1"/>
  <c r="AL204" i="1"/>
  <c r="AM204" i="1"/>
  <c r="AN204" i="1"/>
  <c r="AK210" i="1"/>
  <c r="AL210" i="1"/>
  <c r="AM210" i="1"/>
  <c r="AN210" i="1"/>
  <c r="M224" i="1" l="1"/>
  <c r="M149" i="1"/>
  <c r="M122" i="1"/>
  <c r="M67" i="1"/>
  <c r="M41" i="1"/>
  <c r="M229" i="1" l="1"/>
  <c r="K127" i="1"/>
  <c r="K128" i="1"/>
  <c r="K165" i="1" s="1"/>
  <c r="K129" i="1"/>
  <c r="K171" i="1" s="1"/>
  <c r="K130" i="1"/>
  <c r="K177" i="1" s="1"/>
  <c r="K131" i="1"/>
  <c r="K183" i="1" s="1"/>
  <c r="K132" i="1"/>
  <c r="K189" i="1" s="1"/>
  <c r="K133" i="1"/>
  <c r="K195" i="1" s="1"/>
  <c r="K134" i="1"/>
  <c r="K201" i="1" s="1"/>
  <c r="K135" i="1"/>
  <c r="K207" i="1" s="1"/>
  <c r="K126" i="1"/>
  <c r="AB93" i="1"/>
  <c r="AC93" i="1"/>
  <c r="AD93" i="1"/>
  <c r="AE93" i="1"/>
  <c r="AF93" i="1"/>
  <c r="AG93" i="1"/>
  <c r="AH93" i="1"/>
  <c r="AI93" i="1"/>
  <c r="AJ93" i="1"/>
  <c r="AB94" i="1"/>
  <c r="AC94" i="1"/>
  <c r="AD94" i="1"/>
  <c r="AE94" i="1"/>
  <c r="AF94" i="1"/>
  <c r="AG94" i="1"/>
  <c r="AH94" i="1"/>
  <c r="AI94" i="1"/>
  <c r="AJ94" i="1"/>
  <c r="AC92" i="1"/>
  <c r="AD92" i="1"/>
  <c r="AE92" i="1"/>
  <c r="AF92" i="1"/>
  <c r="AG92" i="1"/>
  <c r="AH92" i="1"/>
  <c r="AI92" i="1"/>
  <c r="AJ92" i="1"/>
  <c r="AB92" i="1"/>
  <c r="AB90" i="1"/>
  <c r="AC90" i="1"/>
  <c r="AD90" i="1"/>
  <c r="AE90" i="1"/>
  <c r="AF90" i="1"/>
  <c r="AG90" i="1"/>
  <c r="AH90" i="1"/>
  <c r="AI90" i="1"/>
  <c r="AJ90" i="1"/>
  <c r="AB91" i="1"/>
  <c r="AC91" i="1"/>
  <c r="AD91" i="1"/>
  <c r="AE91" i="1"/>
  <c r="AF91" i="1"/>
  <c r="AG91" i="1"/>
  <c r="AH91" i="1"/>
  <c r="AI91" i="1"/>
  <c r="AJ91" i="1"/>
  <c r="AC89" i="1"/>
  <c r="AD89" i="1"/>
  <c r="AE89" i="1"/>
  <c r="AF89" i="1"/>
  <c r="AG89" i="1"/>
  <c r="AH89" i="1"/>
  <c r="AI89" i="1"/>
  <c r="AJ89" i="1"/>
  <c r="AB89" i="1"/>
  <c r="AB87" i="1"/>
  <c r="AC87" i="1"/>
  <c r="AD87" i="1"/>
  <c r="AE87" i="1"/>
  <c r="AF87" i="1"/>
  <c r="AG87" i="1"/>
  <c r="AH87" i="1"/>
  <c r="AI87" i="1"/>
  <c r="AJ87" i="1"/>
  <c r="AB88" i="1"/>
  <c r="AC88" i="1"/>
  <c r="AD88" i="1"/>
  <c r="AE88" i="1"/>
  <c r="AF88" i="1"/>
  <c r="AG88" i="1"/>
  <c r="AH88" i="1"/>
  <c r="AI88" i="1"/>
  <c r="AJ88" i="1"/>
  <c r="AC86" i="1"/>
  <c r="AD86" i="1"/>
  <c r="AE86" i="1"/>
  <c r="AF86" i="1"/>
  <c r="AG86" i="1"/>
  <c r="AH86" i="1"/>
  <c r="AI86" i="1"/>
  <c r="AJ86" i="1"/>
  <c r="AB86" i="1"/>
  <c r="AB84" i="1"/>
  <c r="AC84" i="1"/>
  <c r="AD84" i="1"/>
  <c r="AE84" i="1"/>
  <c r="AF84" i="1"/>
  <c r="AG84" i="1"/>
  <c r="AH84" i="1"/>
  <c r="AI84" i="1"/>
  <c r="AJ84" i="1"/>
  <c r="AB85" i="1"/>
  <c r="AC85" i="1"/>
  <c r="AD85" i="1"/>
  <c r="AE85" i="1"/>
  <c r="AF85" i="1"/>
  <c r="AG85" i="1"/>
  <c r="AH85" i="1"/>
  <c r="AI85" i="1"/>
  <c r="AJ85" i="1"/>
  <c r="AC83" i="1"/>
  <c r="AD83" i="1"/>
  <c r="AE83" i="1"/>
  <c r="AF83" i="1"/>
  <c r="AG83" i="1"/>
  <c r="AH83" i="1"/>
  <c r="AI83" i="1"/>
  <c r="AJ83" i="1"/>
  <c r="AB83" i="1"/>
  <c r="AB82" i="1"/>
  <c r="AC82" i="1"/>
  <c r="AD82" i="1"/>
  <c r="AE82" i="1"/>
  <c r="AF82" i="1"/>
  <c r="AG82" i="1"/>
  <c r="AH82" i="1"/>
  <c r="AI82" i="1"/>
  <c r="AJ82" i="1"/>
  <c r="AB81" i="1"/>
  <c r="AC81" i="1"/>
  <c r="AD81" i="1"/>
  <c r="AE81" i="1"/>
  <c r="AF81" i="1"/>
  <c r="AG81" i="1"/>
  <c r="AH81" i="1"/>
  <c r="AI81" i="1"/>
  <c r="AJ81" i="1"/>
  <c r="AC80" i="1"/>
  <c r="AD80" i="1"/>
  <c r="AE80" i="1"/>
  <c r="AF80" i="1"/>
  <c r="AG80" i="1"/>
  <c r="AH80" i="1"/>
  <c r="AI80" i="1"/>
  <c r="AJ80" i="1"/>
  <c r="AB80" i="1"/>
  <c r="AB78" i="1"/>
  <c r="AC78" i="1"/>
  <c r="AD78" i="1"/>
  <c r="AE78" i="1"/>
  <c r="AF78" i="1"/>
  <c r="AG78" i="1"/>
  <c r="AH78" i="1"/>
  <c r="AI78" i="1"/>
  <c r="AJ78" i="1"/>
  <c r="AB79" i="1"/>
  <c r="AC79" i="1"/>
  <c r="AD79" i="1"/>
  <c r="AE79" i="1"/>
  <c r="AF79" i="1"/>
  <c r="AG79" i="1"/>
  <c r="AH79" i="1"/>
  <c r="AI79" i="1"/>
  <c r="AJ79" i="1"/>
  <c r="AC77" i="1"/>
  <c r="AD77" i="1"/>
  <c r="AE77" i="1"/>
  <c r="AF77" i="1"/>
  <c r="AG77" i="1"/>
  <c r="AH77" i="1"/>
  <c r="AI77" i="1"/>
  <c r="AJ77" i="1"/>
  <c r="AB77" i="1"/>
  <c r="AB75" i="1"/>
  <c r="AC75" i="1"/>
  <c r="AD75" i="1"/>
  <c r="AE75" i="1"/>
  <c r="AF75" i="1"/>
  <c r="AG75" i="1"/>
  <c r="AH75" i="1"/>
  <c r="AI75" i="1"/>
  <c r="AJ75" i="1"/>
  <c r="AB76" i="1"/>
  <c r="AC76" i="1"/>
  <c r="AD76" i="1"/>
  <c r="AE76" i="1"/>
  <c r="AF76" i="1"/>
  <c r="AG76" i="1"/>
  <c r="AH76" i="1"/>
  <c r="AI76" i="1"/>
  <c r="AJ76" i="1"/>
  <c r="AC74" i="1"/>
  <c r="AD74" i="1"/>
  <c r="AE74" i="1"/>
  <c r="AF74" i="1"/>
  <c r="AG74" i="1"/>
  <c r="AH74" i="1"/>
  <c r="AI74" i="1"/>
  <c r="AJ74" i="1"/>
  <c r="AB74" i="1"/>
  <c r="K93" i="1"/>
  <c r="K94" i="1"/>
  <c r="K92" i="1"/>
  <c r="K90" i="1"/>
  <c r="K91" i="1"/>
  <c r="K89" i="1"/>
  <c r="K87" i="1"/>
  <c r="K88" i="1"/>
  <c r="K86" i="1"/>
  <c r="K84" i="1"/>
  <c r="K85" i="1"/>
  <c r="K83" i="1"/>
  <c r="AB72" i="1"/>
  <c r="AC72" i="1"/>
  <c r="AD72" i="1"/>
  <c r="AE72" i="1"/>
  <c r="AF72" i="1"/>
  <c r="AG72" i="1"/>
  <c r="AH72" i="1"/>
  <c r="AI72" i="1"/>
  <c r="AJ72" i="1"/>
  <c r="AB73" i="1"/>
  <c r="AC73" i="1"/>
  <c r="AD73" i="1"/>
  <c r="AE73" i="1"/>
  <c r="AF73" i="1"/>
  <c r="AG73" i="1"/>
  <c r="AH73" i="1"/>
  <c r="AI73" i="1"/>
  <c r="AJ73" i="1"/>
  <c r="AC71" i="1"/>
  <c r="AD71" i="1"/>
  <c r="AE71" i="1"/>
  <c r="AF71" i="1"/>
  <c r="AG71" i="1"/>
  <c r="AH71" i="1"/>
  <c r="AI71" i="1"/>
  <c r="AJ71" i="1"/>
  <c r="AB71" i="1"/>
  <c r="O16" i="1"/>
  <c r="M16" i="1"/>
  <c r="K81" i="1"/>
  <c r="K82" i="1"/>
  <c r="K80" i="1"/>
  <c r="K78" i="1"/>
  <c r="K79" i="1"/>
  <c r="K77" i="1"/>
  <c r="K75" i="1"/>
  <c r="K76" i="1"/>
  <c r="K74" i="1"/>
  <c r="K72" i="1"/>
  <c r="K73" i="1"/>
  <c r="K71" i="1"/>
  <c r="AM127" i="1" l="1"/>
  <c r="AM130" i="1"/>
  <c r="AM133" i="1"/>
  <c r="AM163" i="1"/>
  <c r="AM181" i="1"/>
  <c r="AM199" i="1"/>
  <c r="AL133" i="1"/>
  <c r="AN127" i="1"/>
  <c r="AN130" i="1"/>
  <c r="AN133" i="1"/>
  <c r="AN163" i="1"/>
  <c r="AN181" i="1"/>
  <c r="AN199" i="1"/>
  <c r="AK128" i="1"/>
  <c r="AK131" i="1"/>
  <c r="AK134" i="1"/>
  <c r="AK157" i="1"/>
  <c r="AK175" i="1"/>
  <c r="AK193" i="1"/>
  <c r="AK211" i="1"/>
  <c r="AL128" i="1"/>
  <c r="AL131" i="1"/>
  <c r="W131" i="1" s="1"/>
  <c r="AL134" i="1"/>
  <c r="W134" i="1" s="1"/>
  <c r="AL157" i="1"/>
  <c r="AL175" i="1"/>
  <c r="AL193" i="1"/>
  <c r="AL211" i="1"/>
  <c r="AL127" i="1"/>
  <c r="AM128" i="1"/>
  <c r="AM131" i="1"/>
  <c r="AM134" i="1"/>
  <c r="AM157" i="1"/>
  <c r="AM175" i="1"/>
  <c r="AM193" i="1"/>
  <c r="AM211" i="1"/>
  <c r="X210" i="1" s="1"/>
  <c r="AN128" i="1"/>
  <c r="Y128" i="1" s="1"/>
  <c r="AN131" i="1"/>
  <c r="AN134" i="1"/>
  <c r="AN157" i="1"/>
  <c r="AN175" i="1"/>
  <c r="AN193" i="1"/>
  <c r="AN211" i="1"/>
  <c r="AK126" i="1"/>
  <c r="AK129" i="1"/>
  <c r="AK132" i="1"/>
  <c r="AK135" i="1"/>
  <c r="V135" i="1" s="1"/>
  <c r="AK169" i="1"/>
  <c r="AK187" i="1"/>
  <c r="AK205" i="1"/>
  <c r="AL181" i="1"/>
  <c r="AL126" i="1"/>
  <c r="AL129" i="1"/>
  <c r="AL132" i="1"/>
  <c r="AL135" i="1"/>
  <c r="AL169" i="1"/>
  <c r="AL187" i="1"/>
  <c r="AL205" i="1"/>
  <c r="AM126" i="1"/>
  <c r="X126" i="1" s="1"/>
  <c r="AM129" i="1"/>
  <c r="X129" i="1" s="1"/>
  <c r="AM132" i="1"/>
  <c r="X132" i="1" s="1"/>
  <c r="AM135" i="1"/>
  <c r="AM169" i="1"/>
  <c r="AM187" i="1"/>
  <c r="AM205" i="1"/>
  <c r="AL199" i="1"/>
  <c r="AN126" i="1"/>
  <c r="AN129" i="1"/>
  <c r="AN132" i="1"/>
  <c r="AN135" i="1"/>
  <c r="AN169" i="1"/>
  <c r="AN187" i="1"/>
  <c r="AN205" i="1"/>
  <c r="AL130" i="1"/>
  <c r="AK127" i="1"/>
  <c r="AK130" i="1"/>
  <c r="AK133" i="1"/>
  <c r="AK163" i="1"/>
  <c r="AK181" i="1"/>
  <c r="AK199" i="1"/>
  <c r="AL163" i="1"/>
  <c r="Y50" i="1"/>
  <c r="U50" i="1"/>
  <c r="R50" i="1"/>
  <c r="P50" i="1"/>
  <c r="O50" i="1"/>
  <c r="X50" i="1"/>
  <c r="V50" i="1"/>
  <c r="S50" i="1"/>
  <c r="Q50" i="1"/>
  <c r="N50" i="1"/>
  <c r="W50" i="1"/>
  <c r="T50" i="1"/>
  <c r="Y49" i="1"/>
  <c r="Y48" i="1"/>
  <c r="Y47" i="1"/>
  <c r="Y46" i="1"/>
  <c r="X49" i="1"/>
  <c r="X48" i="1"/>
  <c r="X47" i="1"/>
  <c r="X46" i="1"/>
  <c r="W49" i="1"/>
  <c r="W48" i="1"/>
  <c r="W47" i="1"/>
  <c r="W46" i="1"/>
  <c r="V49" i="1"/>
  <c r="V48" i="1"/>
  <c r="V47" i="1"/>
  <c r="V46" i="1"/>
  <c r="U48" i="1"/>
  <c r="U47" i="1"/>
  <c r="T49" i="1"/>
  <c r="T48" i="1"/>
  <c r="T47" i="1"/>
  <c r="S48" i="1"/>
  <c r="R48" i="1"/>
  <c r="Q48" i="1"/>
  <c r="P48" i="1"/>
  <c r="O48" i="1"/>
  <c r="U49" i="1"/>
  <c r="S49" i="1"/>
  <c r="R49" i="1"/>
  <c r="R47" i="1"/>
  <c r="Q47" i="1"/>
  <c r="P49" i="1"/>
  <c r="O49" i="1"/>
  <c r="N48" i="1"/>
  <c r="U46" i="1"/>
  <c r="T46" i="1"/>
  <c r="S47" i="1"/>
  <c r="R46" i="1"/>
  <c r="Q46" i="1"/>
  <c r="P46" i="1"/>
  <c r="N49" i="1"/>
  <c r="S46" i="1"/>
  <c r="Q49" i="1"/>
  <c r="P47" i="1"/>
  <c r="O47" i="1"/>
  <c r="N47" i="1"/>
  <c r="O46" i="1"/>
  <c r="N46" i="1"/>
  <c r="Y45" i="1"/>
  <c r="X45" i="1"/>
  <c r="W45" i="1"/>
  <c r="V45" i="1"/>
  <c r="T45" i="1"/>
  <c r="S45" i="1"/>
  <c r="R45" i="1"/>
  <c r="Q45" i="1"/>
  <c r="P45" i="1"/>
  <c r="O45" i="1"/>
  <c r="U45" i="1"/>
  <c r="N45" i="1"/>
  <c r="X21" i="1"/>
  <c r="X22" i="1"/>
  <c r="X23" i="1"/>
  <c r="X24" i="1"/>
  <c r="X25" i="1"/>
  <c r="X26" i="1"/>
  <c r="X27" i="1"/>
  <c r="X28" i="1"/>
  <c r="X29" i="1"/>
  <c r="O20" i="1"/>
  <c r="P28" i="1"/>
  <c r="S20" i="1"/>
  <c r="U23" i="1"/>
  <c r="W27" i="1"/>
  <c r="Y21" i="1"/>
  <c r="Y22" i="1"/>
  <c r="Y23" i="1"/>
  <c r="Y24" i="1"/>
  <c r="Y25" i="1"/>
  <c r="Y26" i="1"/>
  <c r="Y27" i="1"/>
  <c r="Y28" i="1"/>
  <c r="Y29" i="1"/>
  <c r="N20" i="1"/>
  <c r="P27" i="1"/>
  <c r="U22" i="1"/>
  <c r="R20" i="1"/>
  <c r="P20" i="1"/>
  <c r="N21" i="1"/>
  <c r="N22" i="1"/>
  <c r="N23" i="1"/>
  <c r="N24" i="1"/>
  <c r="N25" i="1"/>
  <c r="N26" i="1"/>
  <c r="N27" i="1"/>
  <c r="N28" i="1"/>
  <c r="N29" i="1"/>
  <c r="Y20" i="1"/>
  <c r="P25" i="1"/>
  <c r="U21" i="1"/>
  <c r="W25" i="1"/>
  <c r="O21" i="1"/>
  <c r="O22" i="1"/>
  <c r="O23" i="1"/>
  <c r="O24" i="1"/>
  <c r="O25" i="1"/>
  <c r="O26" i="1"/>
  <c r="O27" i="1"/>
  <c r="O28" i="1"/>
  <c r="O29" i="1"/>
  <c r="X20" i="1"/>
  <c r="P26" i="1"/>
  <c r="W20" i="1"/>
  <c r="U24" i="1"/>
  <c r="W22" i="1"/>
  <c r="P21" i="1"/>
  <c r="P22" i="1"/>
  <c r="P23" i="1"/>
  <c r="P24" i="1"/>
  <c r="P29" i="1"/>
  <c r="U29" i="1"/>
  <c r="Q21" i="1"/>
  <c r="Q22" i="1"/>
  <c r="Q23" i="1"/>
  <c r="Q24" i="1"/>
  <c r="Q25" i="1"/>
  <c r="Q26" i="1"/>
  <c r="Q27" i="1"/>
  <c r="Q28" i="1"/>
  <c r="Q29" i="1"/>
  <c r="V20" i="1"/>
  <c r="S29" i="1"/>
  <c r="T26" i="1"/>
  <c r="U28" i="1"/>
  <c r="W29" i="1"/>
  <c r="R21" i="1"/>
  <c r="R22" i="1"/>
  <c r="R23" i="1"/>
  <c r="R24" i="1"/>
  <c r="R25" i="1"/>
  <c r="R26" i="1"/>
  <c r="R27" i="1"/>
  <c r="R28" i="1"/>
  <c r="R29" i="1"/>
  <c r="U20" i="1"/>
  <c r="T25" i="1"/>
  <c r="T29" i="1"/>
  <c r="U26" i="1"/>
  <c r="W26" i="1"/>
  <c r="S21" i="1"/>
  <c r="S22" i="1"/>
  <c r="S23" i="1"/>
  <c r="S24" i="1"/>
  <c r="S25" i="1"/>
  <c r="S26" i="1"/>
  <c r="S27" i="1"/>
  <c r="S28" i="1"/>
  <c r="T20" i="1"/>
  <c r="T27" i="1"/>
  <c r="U27" i="1"/>
  <c r="W28" i="1"/>
  <c r="T21" i="1"/>
  <c r="T22" i="1"/>
  <c r="T23" i="1"/>
  <c r="T24" i="1"/>
  <c r="T28" i="1"/>
  <c r="U25" i="1"/>
  <c r="W23" i="1"/>
  <c r="V21" i="1"/>
  <c r="V22" i="1"/>
  <c r="V23" i="1"/>
  <c r="V24" i="1"/>
  <c r="V25" i="1"/>
  <c r="V26" i="1"/>
  <c r="V27" i="1"/>
  <c r="V28" i="1"/>
  <c r="V29" i="1"/>
  <c r="Q20" i="1"/>
  <c r="W21" i="1"/>
  <c r="W24" i="1"/>
  <c r="N228" i="1"/>
  <c r="M228" i="1"/>
  <c r="Q228" i="1"/>
  <c r="R228" i="1"/>
  <c r="S228" i="1"/>
  <c r="T228" i="1"/>
  <c r="U228" i="1"/>
  <c r="V228" i="1"/>
  <c r="X228" i="1"/>
  <c r="Y228" i="1"/>
  <c r="O228" i="1"/>
  <c r="P228" i="1"/>
  <c r="W228" i="1"/>
  <c r="U88" i="1"/>
  <c r="X89" i="1"/>
  <c r="T77" i="1"/>
  <c r="S85" i="1"/>
  <c r="R79" i="1"/>
  <c r="R84" i="1"/>
  <c r="S78" i="1"/>
  <c r="R82" i="1"/>
  <c r="U84" i="1"/>
  <c r="U87" i="1"/>
  <c r="Y89" i="1"/>
  <c r="R81" i="1"/>
  <c r="S80" i="1"/>
  <c r="U79" i="1"/>
  <c r="O94" i="1"/>
  <c r="R83" i="1"/>
  <c r="U82" i="1"/>
  <c r="Y92" i="1"/>
  <c r="R87" i="1"/>
  <c r="R85" i="1"/>
  <c r="U80" i="1"/>
  <c r="Y94" i="1"/>
  <c r="O89" i="1"/>
  <c r="T72" i="1"/>
  <c r="X93" i="1"/>
  <c r="S84" i="1"/>
  <c r="R80" i="1"/>
  <c r="X94" i="1"/>
  <c r="U83" i="1"/>
  <c r="S79" i="1"/>
  <c r="Y91" i="1"/>
  <c r="U72" i="1"/>
  <c r="S83" i="1"/>
  <c r="U78" i="1"/>
  <c r="X91" i="1"/>
  <c r="O91" i="1"/>
  <c r="R88" i="1"/>
  <c r="S82" i="1"/>
  <c r="R78" i="1"/>
  <c r="Y90" i="1"/>
  <c r="X90" i="1"/>
  <c r="S87" i="1"/>
  <c r="U81" i="1"/>
  <c r="O90" i="1"/>
  <c r="V77" i="1"/>
  <c r="S88" i="1"/>
  <c r="U85" i="1"/>
  <c r="S81" i="1"/>
  <c r="O93" i="1"/>
  <c r="O92" i="1"/>
  <c r="V72" i="1"/>
  <c r="U77" i="1"/>
  <c r="T88" i="1"/>
  <c r="T87" i="1"/>
  <c r="T85" i="1"/>
  <c r="T84" i="1"/>
  <c r="T83" i="1"/>
  <c r="T82" i="1"/>
  <c r="T81" i="1"/>
  <c r="T80" i="1"/>
  <c r="T79" i="1"/>
  <c r="T78" i="1"/>
  <c r="N94" i="1"/>
  <c r="N93" i="1"/>
  <c r="N92" i="1"/>
  <c r="N91" i="1"/>
  <c r="N90" i="1"/>
  <c r="N89" i="1"/>
  <c r="AJ210" i="1"/>
  <c r="AB210" i="1"/>
  <c r="AH210" i="1"/>
  <c r="AC210" i="1"/>
  <c r="AI210" i="1"/>
  <c r="AG210" i="1"/>
  <c r="AF210" i="1"/>
  <c r="AE210" i="1"/>
  <c r="AD210" i="1"/>
  <c r="X92" i="1"/>
  <c r="R77" i="1"/>
  <c r="Q88" i="1"/>
  <c r="Q87" i="1"/>
  <c r="Q85" i="1"/>
  <c r="Q84" i="1"/>
  <c r="Q83" i="1"/>
  <c r="Q82" i="1"/>
  <c r="Q81" i="1"/>
  <c r="Q80" i="1"/>
  <c r="Q79" i="1"/>
  <c r="Q78" i="1"/>
  <c r="W94" i="1"/>
  <c r="W93" i="1"/>
  <c r="W92" i="1"/>
  <c r="W91" i="1"/>
  <c r="W90" i="1"/>
  <c r="W89" i="1"/>
  <c r="AF204" i="1"/>
  <c r="AB204" i="1"/>
  <c r="AC204" i="1"/>
  <c r="AD204" i="1"/>
  <c r="AE204" i="1"/>
  <c r="AJ204" i="1"/>
  <c r="AG204" i="1"/>
  <c r="AH204" i="1"/>
  <c r="AI204" i="1"/>
  <c r="Y93" i="1"/>
  <c r="X76" i="1"/>
  <c r="Q77" i="1"/>
  <c r="P88" i="1"/>
  <c r="P87" i="1"/>
  <c r="P85" i="1"/>
  <c r="P84" i="1"/>
  <c r="P83" i="1"/>
  <c r="P82" i="1"/>
  <c r="P81" i="1"/>
  <c r="P80" i="1"/>
  <c r="P79" i="1"/>
  <c r="P78" i="1"/>
  <c r="V94" i="1"/>
  <c r="V93" i="1"/>
  <c r="V92" i="1"/>
  <c r="V91" i="1"/>
  <c r="V90" i="1"/>
  <c r="V89" i="1"/>
  <c r="AG198" i="1"/>
  <c r="AH198" i="1"/>
  <c r="AI198" i="1"/>
  <c r="AD198" i="1"/>
  <c r="AJ198" i="1"/>
  <c r="AE198" i="1"/>
  <c r="AF198" i="1"/>
  <c r="AC198" i="1"/>
  <c r="AB198" i="1"/>
  <c r="N76" i="1"/>
  <c r="P77" i="1"/>
  <c r="O88" i="1"/>
  <c r="O87" i="1"/>
  <c r="O85" i="1"/>
  <c r="O84" i="1"/>
  <c r="O83" i="1"/>
  <c r="O82" i="1"/>
  <c r="O81" i="1"/>
  <c r="O80" i="1"/>
  <c r="O79" i="1"/>
  <c r="O78" i="1"/>
  <c r="U94" i="1"/>
  <c r="U93" i="1"/>
  <c r="U92" i="1"/>
  <c r="U91" i="1"/>
  <c r="U90" i="1"/>
  <c r="U89" i="1"/>
  <c r="AJ192" i="1"/>
  <c r="AE192" i="1"/>
  <c r="AB192" i="1"/>
  <c r="AC192" i="1"/>
  <c r="AG192" i="1"/>
  <c r="AD192" i="1"/>
  <c r="AF192" i="1"/>
  <c r="AH192" i="1"/>
  <c r="AI192" i="1"/>
  <c r="K153" i="1"/>
  <c r="S77" i="1"/>
  <c r="N75" i="1"/>
  <c r="O77" i="1"/>
  <c r="N88" i="1"/>
  <c r="N87" i="1"/>
  <c r="N85" i="1"/>
  <c r="N84" i="1"/>
  <c r="N83" i="1"/>
  <c r="N82" i="1"/>
  <c r="N81" i="1"/>
  <c r="N80" i="1"/>
  <c r="N79" i="1"/>
  <c r="N78" i="1"/>
  <c r="T94" i="1"/>
  <c r="T93" i="1"/>
  <c r="T92" i="1"/>
  <c r="T91" i="1"/>
  <c r="T90" i="1"/>
  <c r="T89" i="1"/>
  <c r="AF186" i="1"/>
  <c r="AH186" i="1"/>
  <c r="AB186" i="1"/>
  <c r="AC186" i="1"/>
  <c r="AE186" i="1"/>
  <c r="AJ186" i="1"/>
  <c r="AD186" i="1"/>
  <c r="AG186" i="1"/>
  <c r="AI186" i="1"/>
  <c r="AD169" i="1"/>
  <c r="AD175" i="1"/>
  <c r="AD181" i="1"/>
  <c r="AD187" i="1"/>
  <c r="AD193" i="1"/>
  <c r="AD199" i="1"/>
  <c r="AD205" i="1"/>
  <c r="AD211" i="1"/>
  <c r="AB205" i="1"/>
  <c r="AH163" i="1"/>
  <c r="AG157" i="1"/>
  <c r="AH127" i="1"/>
  <c r="S127" i="1" s="1"/>
  <c r="AG128" i="1"/>
  <c r="R128" i="1" s="1"/>
  <c r="AF129" i="1"/>
  <c r="Q129" i="1" s="1"/>
  <c r="AE130" i="1"/>
  <c r="P130" i="1" s="1"/>
  <c r="AD131" i="1"/>
  <c r="AC132" i="1"/>
  <c r="N132" i="1" s="1"/>
  <c r="AB133" i="1"/>
  <c r="Y133" i="1"/>
  <c r="X134" i="1"/>
  <c r="W135" i="1"/>
  <c r="V128" i="1"/>
  <c r="AG132" i="1"/>
  <c r="R132" i="1" s="1"/>
  <c r="AD126" i="1"/>
  <c r="O126" i="1" s="1"/>
  <c r="W130" i="1"/>
  <c r="AD128" i="1"/>
  <c r="O128" i="1" s="1"/>
  <c r="W132" i="1"/>
  <c r="AF157" i="1"/>
  <c r="AF128" i="1"/>
  <c r="Q128" i="1" s="1"/>
  <c r="X133" i="1"/>
  <c r="AE169" i="1"/>
  <c r="AE175" i="1"/>
  <c r="AE181" i="1"/>
  <c r="AE187" i="1"/>
  <c r="AE193" i="1"/>
  <c r="AE199" i="1"/>
  <c r="AE205" i="1"/>
  <c r="AE211" i="1"/>
  <c r="AB199" i="1"/>
  <c r="AI163" i="1"/>
  <c r="AH157" i="1"/>
  <c r="AI127" i="1"/>
  <c r="T127" i="1" s="1"/>
  <c r="AH128" i="1"/>
  <c r="S128" i="1" s="1"/>
  <c r="AG129" i="1"/>
  <c r="R129" i="1" s="1"/>
  <c r="AF130" i="1"/>
  <c r="Q130" i="1" s="1"/>
  <c r="AE131" i="1"/>
  <c r="P131" i="1" s="1"/>
  <c r="AD132" i="1"/>
  <c r="O132" i="1" s="1"/>
  <c r="AC133" i="1"/>
  <c r="N133" i="1" s="1"/>
  <c r="AB134" i="1"/>
  <c r="Y134" i="1"/>
  <c r="X135" i="1"/>
  <c r="AB135" i="1"/>
  <c r="Y126" i="1"/>
  <c r="AC126" i="1"/>
  <c r="N126" i="1" s="1"/>
  <c r="AJ129" i="1"/>
  <c r="U129" i="1" s="1"/>
  <c r="AH131" i="1"/>
  <c r="S131" i="1" s="1"/>
  <c r="AE134" i="1"/>
  <c r="P134" i="1" s="1"/>
  <c r="AC127" i="1"/>
  <c r="N127" i="1" s="1"/>
  <c r="AJ132" i="1"/>
  <c r="U132" i="1" s="1"/>
  <c r="X131" i="1"/>
  <c r="AD130" i="1"/>
  <c r="O130" i="1" s="1"/>
  <c r="AF169" i="1"/>
  <c r="AF175" i="1"/>
  <c r="AF181" i="1"/>
  <c r="AF187" i="1"/>
  <c r="AF193" i="1"/>
  <c r="AF199" i="1"/>
  <c r="AF205" i="1"/>
  <c r="AF211" i="1"/>
  <c r="Q210" i="1" s="1"/>
  <c r="AB193" i="1"/>
  <c r="AJ163" i="1"/>
  <c r="AI157" i="1"/>
  <c r="AJ127" i="1"/>
  <c r="U127" i="1" s="1"/>
  <c r="AI128" i="1"/>
  <c r="T128" i="1" s="1"/>
  <c r="AH129" i="1"/>
  <c r="S129" i="1" s="1"/>
  <c r="AG130" i="1"/>
  <c r="R130" i="1" s="1"/>
  <c r="AF131" i="1"/>
  <c r="Q131" i="1" s="1"/>
  <c r="AE132" i="1"/>
  <c r="P132" i="1" s="1"/>
  <c r="AD133" i="1"/>
  <c r="O133" i="1" s="1"/>
  <c r="AC134" i="1"/>
  <c r="N134" i="1" s="1"/>
  <c r="Y135" i="1"/>
  <c r="AI130" i="1"/>
  <c r="T130" i="1" s="1"/>
  <c r="AD135" i="1"/>
  <c r="O135" i="1" s="1"/>
  <c r="AC163" i="1"/>
  <c r="AG135" i="1"/>
  <c r="R135" i="1" s="1"/>
  <c r="AD157" i="1"/>
  <c r="AB130" i="1"/>
  <c r="AI126" i="1"/>
  <c r="T126" i="1" s="1"/>
  <c r="AG169" i="1"/>
  <c r="AG175" i="1"/>
  <c r="AG181" i="1"/>
  <c r="AG187" i="1"/>
  <c r="AG193" i="1"/>
  <c r="R192" i="1" s="1"/>
  <c r="AG199" i="1"/>
  <c r="AG205" i="1"/>
  <c r="AG211" i="1"/>
  <c r="R210" i="1" s="1"/>
  <c r="AB187" i="1"/>
  <c r="AJ157" i="1"/>
  <c r="V127" i="1"/>
  <c r="AJ128" i="1"/>
  <c r="U128" i="1" s="1"/>
  <c r="AI129" i="1"/>
  <c r="T129" i="1" s="1"/>
  <c r="AH130" i="1"/>
  <c r="S130" i="1" s="1"/>
  <c r="AG131" i="1"/>
  <c r="R131" i="1" s="1"/>
  <c r="AF132" i="1"/>
  <c r="Q132" i="1" s="1"/>
  <c r="AE133" i="1"/>
  <c r="P133" i="1" s="1"/>
  <c r="AD134" i="1"/>
  <c r="O134" i="1" s="1"/>
  <c r="AC135" i="1"/>
  <c r="N135" i="1" s="1"/>
  <c r="AB126" i="1"/>
  <c r="W127" i="1"/>
  <c r="AF133" i="1"/>
  <c r="Q133" i="1" s="1"/>
  <c r="AB128" i="1"/>
  <c r="AH134" i="1"/>
  <c r="S134" i="1" s="1"/>
  <c r="V133" i="1"/>
  <c r="Y132" i="1"/>
  <c r="AH169" i="1"/>
  <c r="AH175" i="1"/>
  <c r="AH181" i="1"/>
  <c r="AH187" i="1"/>
  <c r="AH193" i="1"/>
  <c r="AH199" i="1"/>
  <c r="AH205" i="1"/>
  <c r="S204" i="1" s="1"/>
  <c r="AH211" i="1"/>
  <c r="AB181" i="1"/>
  <c r="AI169" i="1"/>
  <c r="AI175" i="1"/>
  <c r="AI181" i="1"/>
  <c r="AI187" i="1"/>
  <c r="AI193" i="1"/>
  <c r="AI199" i="1"/>
  <c r="T198" i="1" s="1"/>
  <c r="AI205" i="1"/>
  <c r="T204" i="1" s="1"/>
  <c r="AI211" i="1"/>
  <c r="AB175" i="1"/>
  <c r="X127" i="1"/>
  <c r="W128" i="1"/>
  <c r="V129" i="1"/>
  <c r="AJ130" i="1"/>
  <c r="U130" i="1" s="1"/>
  <c r="AI131" i="1"/>
  <c r="T131" i="1" s="1"/>
  <c r="AH132" i="1"/>
  <c r="S132" i="1" s="1"/>
  <c r="AG133" i="1"/>
  <c r="R133" i="1" s="1"/>
  <c r="AF134" i="1"/>
  <c r="Q134" i="1" s="1"/>
  <c r="AE135" i="1"/>
  <c r="P135" i="1" s="1"/>
  <c r="AE126" i="1"/>
  <c r="P126" i="1" s="1"/>
  <c r="AI132" i="1"/>
  <c r="T132" i="1" s="1"/>
  <c r="AF135" i="1"/>
  <c r="Q135" i="1" s="1"/>
  <c r="V204" i="1"/>
  <c r="AI133" i="1"/>
  <c r="T133" i="1" s="1"/>
  <c r="AJ134" i="1"/>
  <c r="U134" i="1" s="1"/>
  <c r="AC131" i="1"/>
  <c r="N131" i="1" s="1"/>
  <c r="AJ169" i="1"/>
  <c r="AJ175" i="1"/>
  <c r="AJ181" i="1"/>
  <c r="AJ187" i="1"/>
  <c r="AJ193" i="1"/>
  <c r="U192" i="1" s="1"/>
  <c r="AJ199" i="1"/>
  <c r="AJ205" i="1"/>
  <c r="AJ211" i="1"/>
  <c r="AB169" i="1"/>
  <c r="AB127" i="1"/>
  <c r="Y127" i="1"/>
  <c r="X128" i="1"/>
  <c r="W129" i="1"/>
  <c r="V130" i="1"/>
  <c r="AJ131" i="1"/>
  <c r="U131" i="1" s="1"/>
  <c r="AH133" i="1"/>
  <c r="S133" i="1" s="1"/>
  <c r="AG134" i="1"/>
  <c r="R134" i="1" s="1"/>
  <c r="AF126" i="1"/>
  <c r="Q126" i="1" s="1"/>
  <c r="AB163" i="1"/>
  <c r="V131" i="1"/>
  <c r="AG126" i="1"/>
  <c r="R126" i="1" s="1"/>
  <c r="AE127" i="1"/>
  <c r="P127" i="1" s="1"/>
  <c r="Y130" i="1"/>
  <c r="AG127" i="1"/>
  <c r="R127" i="1" s="1"/>
  <c r="AD163" i="1"/>
  <c r="AC157" i="1"/>
  <c r="AB157" i="1"/>
  <c r="AD127" i="1"/>
  <c r="O127" i="1" s="1"/>
  <c r="AC128" i="1"/>
  <c r="N128" i="1" s="1"/>
  <c r="AB129" i="1"/>
  <c r="Y129" i="1"/>
  <c r="X130" i="1"/>
  <c r="V132" i="1"/>
  <c r="AJ133" i="1"/>
  <c r="U133" i="1" s="1"/>
  <c r="AI134" i="1"/>
  <c r="T134" i="1" s="1"/>
  <c r="AH135" i="1"/>
  <c r="S135" i="1" s="1"/>
  <c r="AH126" i="1"/>
  <c r="S126" i="1" s="1"/>
  <c r="AE163" i="1"/>
  <c r="AC129" i="1"/>
  <c r="N129" i="1" s="1"/>
  <c r="AI135" i="1"/>
  <c r="T135" i="1" s="1"/>
  <c r="V126" i="1"/>
  <c r="Y210" i="1"/>
  <c r="AF163" i="1"/>
  <c r="AE157" i="1"/>
  <c r="AF127" i="1"/>
  <c r="Q127" i="1" s="1"/>
  <c r="AE128" i="1"/>
  <c r="P128" i="1" s="1"/>
  <c r="AD129" i="1"/>
  <c r="O129" i="1" s="1"/>
  <c r="AC130" i="1"/>
  <c r="N130" i="1" s="1"/>
  <c r="AB131" i="1"/>
  <c r="Y131" i="1"/>
  <c r="W133" i="1"/>
  <c r="V134" i="1"/>
  <c r="AJ135" i="1"/>
  <c r="U135" i="1" s="1"/>
  <c r="AJ126" i="1"/>
  <c r="U126" i="1" s="1"/>
  <c r="AC169" i="1"/>
  <c r="AC175" i="1"/>
  <c r="AC181" i="1"/>
  <c r="AC187" i="1"/>
  <c r="AC193" i="1"/>
  <c r="N192" i="1" s="1"/>
  <c r="AC199" i="1"/>
  <c r="N198" i="1" s="1"/>
  <c r="AC205" i="1"/>
  <c r="AC211" i="1"/>
  <c r="AB211" i="1"/>
  <c r="AG163" i="1"/>
  <c r="AE129" i="1"/>
  <c r="P129" i="1" s="1"/>
  <c r="AB132" i="1"/>
  <c r="N77" i="1"/>
  <c r="Y88" i="1"/>
  <c r="Y87" i="1"/>
  <c r="Y85" i="1"/>
  <c r="Y84" i="1"/>
  <c r="Y83" i="1"/>
  <c r="Y82" i="1"/>
  <c r="Y81" i="1"/>
  <c r="Y80" i="1"/>
  <c r="Y79" i="1"/>
  <c r="Y78" i="1"/>
  <c r="S94" i="1"/>
  <c r="S93" i="1"/>
  <c r="S92" i="1"/>
  <c r="S91" i="1"/>
  <c r="S90" i="1"/>
  <c r="S89" i="1"/>
  <c r="AB180" i="1"/>
  <c r="AJ180" i="1"/>
  <c r="AI180" i="1"/>
  <c r="AE180" i="1"/>
  <c r="AC180" i="1"/>
  <c r="AD180" i="1"/>
  <c r="AF180" i="1"/>
  <c r="AG180" i="1"/>
  <c r="AH180" i="1"/>
  <c r="Y77" i="1"/>
  <c r="X88" i="1"/>
  <c r="X87" i="1"/>
  <c r="X85" i="1"/>
  <c r="X84" i="1"/>
  <c r="X83" i="1"/>
  <c r="X82" i="1"/>
  <c r="X81" i="1"/>
  <c r="X80" i="1"/>
  <c r="X79" i="1"/>
  <c r="X78" i="1"/>
  <c r="R94" i="1"/>
  <c r="R93" i="1"/>
  <c r="R92" i="1"/>
  <c r="R91" i="1"/>
  <c r="R90" i="1"/>
  <c r="R89" i="1"/>
  <c r="AH174" i="1"/>
  <c r="AB174" i="1"/>
  <c r="AI174" i="1"/>
  <c r="AG174" i="1"/>
  <c r="AC174" i="1"/>
  <c r="AJ174" i="1"/>
  <c r="AF174" i="1"/>
  <c r="AE174" i="1"/>
  <c r="AD174" i="1"/>
  <c r="X77" i="1"/>
  <c r="W88" i="1"/>
  <c r="W87" i="1"/>
  <c r="W85" i="1"/>
  <c r="W84" i="1"/>
  <c r="W83" i="1"/>
  <c r="W82" i="1"/>
  <c r="W81" i="1"/>
  <c r="W80" i="1"/>
  <c r="W79" i="1"/>
  <c r="W78" i="1"/>
  <c r="Q94" i="1"/>
  <c r="Q93" i="1"/>
  <c r="Q92" i="1"/>
  <c r="Q91" i="1"/>
  <c r="Q90" i="1"/>
  <c r="Q89" i="1"/>
  <c r="AC168" i="1"/>
  <c r="AF168" i="1"/>
  <c r="AG168" i="1"/>
  <c r="AH168" i="1"/>
  <c r="AB168" i="1"/>
  <c r="AI168" i="1"/>
  <c r="AJ168" i="1"/>
  <c r="AE168" i="1"/>
  <c r="AD168" i="1"/>
  <c r="O131" i="1"/>
  <c r="N74" i="1"/>
  <c r="W77" i="1"/>
  <c r="V88" i="1"/>
  <c r="V87" i="1"/>
  <c r="V85" i="1"/>
  <c r="V84" i="1"/>
  <c r="V83" i="1"/>
  <c r="V82" i="1"/>
  <c r="V81" i="1"/>
  <c r="V80" i="1"/>
  <c r="V79" i="1"/>
  <c r="V78" i="1"/>
  <c r="P94" i="1"/>
  <c r="P93" i="1"/>
  <c r="P92" i="1"/>
  <c r="P91" i="1"/>
  <c r="P90" i="1"/>
  <c r="P89" i="1"/>
  <c r="K159" i="1"/>
  <c r="W126" i="1"/>
  <c r="N86" i="1"/>
  <c r="Y86" i="1"/>
  <c r="X86" i="1"/>
  <c r="W86" i="1"/>
  <c r="V86" i="1"/>
  <c r="U86" i="1"/>
  <c r="T86" i="1"/>
  <c r="S86" i="1"/>
  <c r="R86" i="1"/>
  <c r="Q86" i="1"/>
  <c r="P86" i="1"/>
  <c r="O86" i="1"/>
  <c r="Y76" i="1"/>
  <c r="Y75" i="1"/>
  <c r="Y74" i="1"/>
  <c r="X75" i="1"/>
  <c r="X74" i="1"/>
  <c r="S72" i="1"/>
  <c r="W76" i="1"/>
  <c r="W75" i="1"/>
  <c r="W74" i="1"/>
  <c r="R72" i="1"/>
  <c r="V76" i="1"/>
  <c r="V75" i="1"/>
  <c r="V74" i="1"/>
  <c r="Q72" i="1"/>
  <c r="U76" i="1"/>
  <c r="U75" i="1"/>
  <c r="U74" i="1"/>
  <c r="P72" i="1"/>
  <c r="T76" i="1"/>
  <c r="T75" i="1"/>
  <c r="T74" i="1"/>
  <c r="O72" i="1"/>
  <c r="S76" i="1"/>
  <c r="S75" i="1"/>
  <c r="S74" i="1"/>
  <c r="N72" i="1"/>
  <c r="R76" i="1"/>
  <c r="R75" i="1"/>
  <c r="R74" i="1"/>
  <c r="Y72" i="1"/>
  <c r="Q76" i="1"/>
  <c r="Q75" i="1"/>
  <c r="Q74" i="1"/>
  <c r="X72" i="1"/>
  <c r="P76" i="1"/>
  <c r="P75" i="1"/>
  <c r="P74" i="1"/>
  <c r="W72" i="1"/>
  <c r="O76" i="1"/>
  <c r="O75" i="1"/>
  <c r="O74" i="1"/>
  <c r="N73" i="1"/>
  <c r="Y73" i="1"/>
  <c r="X73" i="1"/>
  <c r="T73" i="1"/>
  <c r="W73" i="1"/>
  <c r="V73" i="1"/>
  <c r="U73" i="1"/>
  <c r="S73" i="1"/>
  <c r="R73" i="1"/>
  <c r="Q73" i="1"/>
  <c r="O73" i="1"/>
  <c r="P73" i="1"/>
  <c r="Q71" i="1"/>
  <c r="N71" i="1"/>
  <c r="Y71" i="1"/>
  <c r="X71" i="1"/>
  <c r="W71" i="1"/>
  <c r="V71" i="1"/>
  <c r="U71" i="1"/>
  <c r="T71" i="1"/>
  <c r="S71" i="1"/>
  <c r="R71" i="1"/>
  <c r="P71" i="1"/>
  <c r="O71" i="1"/>
  <c r="G18" i="1"/>
  <c r="B18" i="1"/>
  <c r="Y67" i="1" l="1"/>
  <c r="O67" i="1"/>
  <c r="R67" i="1"/>
  <c r="Q67" i="1"/>
  <c r="S67" i="1"/>
  <c r="N67" i="1"/>
  <c r="T67" i="1"/>
  <c r="U67" i="1"/>
  <c r="W67" i="1"/>
  <c r="P67" i="1"/>
  <c r="O174" i="1"/>
  <c r="V67" i="1"/>
  <c r="X67" i="1"/>
  <c r="V41" i="1"/>
  <c r="N41" i="1"/>
  <c r="Q41" i="1"/>
  <c r="O41" i="1"/>
  <c r="W41" i="1"/>
  <c r="P41" i="1"/>
  <c r="X41" i="1"/>
  <c r="R41" i="1"/>
  <c r="T41" i="1"/>
  <c r="Y41" i="1"/>
  <c r="U41" i="1"/>
  <c r="N122" i="1"/>
  <c r="S41" i="1"/>
  <c r="R149" i="1"/>
  <c r="X149" i="1"/>
  <c r="W149" i="1"/>
  <c r="Q122" i="1"/>
  <c r="O122" i="1"/>
  <c r="P122" i="1"/>
  <c r="S149" i="1"/>
  <c r="R122" i="1"/>
  <c r="S122" i="1"/>
  <c r="P149" i="1"/>
  <c r="T122" i="1"/>
  <c r="O149" i="1"/>
  <c r="V149" i="1"/>
  <c r="T149" i="1"/>
  <c r="V122" i="1"/>
  <c r="W122" i="1"/>
  <c r="N149" i="1"/>
  <c r="U122" i="1"/>
  <c r="U149" i="1"/>
  <c r="Q149" i="1"/>
  <c r="Y149" i="1"/>
  <c r="X122" i="1"/>
  <c r="Y122" i="1"/>
  <c r="P180" i="1"/>
  <c r="Y204" i="1"/>
  <c r="S186" i="1"/>
  <c r="V192" i="1"/>
  <c r="U210" i="1"/>
  <c r="X186" i="1"/>
  <c r="O198" i="1"/>
  <c r="Y180" i="1"/>
  <c r="Q180" i="1"/>
  <c r="V180" i="1"/>
  <c r="Y168" i="1"/>
  <c r="P198" i="1"/>
  <c r="N210" i="1"/>
  <c r="Y192" i="1"/>
  <c r="W174" i="1"/>
  <c r="O186" i="1"/>
  <c r="S168" i="1"/>
  <c r="O210" i="1"/>
  <c r="S174" i="1"/>
  <c r="Q168" i="1"/>
  <c r="U204" i="1"/>
  <c r="P168" i="1"/>
  <c r="V168" i="1"/>
  <c r="U168" i="1"/>
  <c r="U186" i="1"/>
  <c r="P186" i="1"/>
  <c r="N168" i="1"/>
  <c r="S198" i="1"/>
  <c r="R174" i="1"/>
  <c r="T192" i="1"/>
  <c r="W168" i="1"/>
  <c r="T180" i="1"/>
  <c r="S210" i="1"/>
  <c r="P192" i="1"/>
  <c r="Q198" i="1"/>
  <c r="W204" i="1"/>
  <c r="Q192" i="1"/>
  <c r="R168" i="1"/>
  <c r="P174" i="1"/>
  <c r="X168" i="1"/>
  <c r="X180" i="1"/>
  <c r="V174" i="1"/>
  <c r="U180" i="1"/>
  <c r="R186" i="1"/>
  <c r="V210" i="1"/>
  <c r="W210" i="1"/>
  <c r="V186" i="1"/>
  <c r="U198" i="1"/>
  <c r="T174" i="1"/>
  <c r="R180" i="1"/>
  <c r="Y174" i="1"/>
  <c r="Q174" i="1"/>
  <c r="O180" i="1"/>
  <c r="N180" i="1"/>
  <c r="S192" i="1"/>
  <c r="P210" i="1"/>
  <c r="T210" i="1"/>
  <c r="O204" i="1"/>
  <c r="N186" i="1"/>
  <c r="P204" i="1"/>
  <c r="X174" i="1"/>
  <c r="O192" i="1"/>
  <c r="W192" i="1"/>
  <c r="U174" i="1"/>
  <c r="T168" i="1"/>
  <c r="X198" i="1"/>
  <c r="R204" i="1"/>
  <c r="W186" i="1"/>
  <c r="R198" i="1"/>
  <c r="N204" i="1"/>
  <c r="X192" i="1"/>
  <c r="T186" i="1"/>
  <c r="Q186" i="1"/>
  <c r="X204" i="1"/>
  <c r="W180" i="1"/>
  <c r="Y198" i="1"/>
  <c r="V198" i="1"/>
  <c r="O168" i="1"/>
  <c r="S180" i="1"/>
  <c r="W198" i="1"/>
  <c r="Q204" i="1"/>
  <c r="N174" i="1"/>
  <c r="Y186" i="1"/>
  <c r="AJ156" i="1"/>
  <c r="U156" i="1" s="1"/>
  <c r="V156" i="1"/>
  <c r="Y156" i="1"/>
  <c r="W156" i="1"/>
  <c r="AG156" i="1"/>
  <c r="R156" i="1" s="1"/>
  <c r="X156" i="1"/>
  <c r="AI156" i="1"/>
  <c r="T156" i="1" s="1"/>
  <c r="AC156" i="1"/>
  <c r="N156" i="1" s="1"/>
  <c r="AB156" i="1"/>
  <c r="AD156" i="1"/>
  <c r="O156" i="1" s="1"/>
  <c r="AE156" i="1"/>
  <c r="P156" i="1" s="1"/>
  <c r="AF156" i="1"/>
  <c r="Q156" i="1" s="1"/>
  <c r="AH156" i="1"/>
  <c r="S156" i="1" s="1"/>
  <c r="X162" i="1"/>
  <c r="AB162" i="1"/>
  <c r="AJ162" i="1"/>
  <c r="U162" i="1" s="1"/>
  <c r="AD162" i="1"/>
  <c r="O162" i="1" s="1"/>
  <c r="AE162" i="1"/>
  <c r="P162" i="1" s="1"/>
  <c r="AF162" i="1"/>
  <c r="Q162" i="1" s="1"/>
  <c r="AG162" i="1"/>
  <c r="R162" i="1" s="1"/>
  <c r="AH162" i="1"/>
  <c r="S162" i="1" s="1"/>
  <c r="AI162" i="1"/>
  <c r="T162" i="1" s="1"/>
  <c r="V162" i="1"/>
  <c r="W162" i="1"/>
  <c r="Y162" i="1"/>
  <c r="AC162" i="1"/>
  <c r="N162" i="1" s="1"/>
  <c r="W224" i="1" l="1"/>
  <c r="V224" i="1"/>
  <c r="Y224" i="1"/>
  <c r="S224" i="1"/>
  <c r="U224" i="1"/>
  <c r="U229" i="1" s="1"/>
  <c r="Y229" i="1"/>
  <c r="T229" i="1"/>
  <c r="Q224" i="1"/>
  <c r="Q229" i="1" s="1"/>
  <c r="X229" i="1"/>
  <c r="P224" i="1"/>
  <c r="P229" i="1" s="1"/>
  <c r="O224" i="1"/>
  <c r="O229" i="1" s="1"/>
  <c r="S229" i="1"/>
  <c r="N224" i="1"/>
  <c r="N229" i="1" s="1"/>
  <c r="T224" i="1"/>
  <c r="X224" i="1"/>
  <c r="W229" i="1"/>
  <c r="R224" i="1"/>
  <c r="R229" i="1" s="1"/>
  <c r="V229" i="1"/>
</calcChain>
</file>

<file path=xl/sharedStrings.xml><?xml version="1.0" encoding="utf-8"?>
<sst xmlns="http://schemas.openxmlformats.org/spreadsheetml/2006/main" count="320" uniqueCount="91">
  <si>
    <t>Pumpe</t>
  </si>
  <si>
    <t>D5</t>
  </si>
  <si>
    <t>DDC-1T+</t>
  </si>
  <si>
    <t>Anzahl seriell</t>
  </si>
  <si>
    <t>Anzahl parallel</t>
  </si>
  <si>
    <t>Drehzahl</t>
  </si>
  <si>
    <t>Drehzahlfaktor</t>
  </si>
  <si>
    <t>rpm</t>
  </si>
  <si>
    <t>Drehzahl über Faktor ändern!</t>
  </si>
  <si>
    <t>Restriktionen</t>
  </si>
  <si>
    <t>Temperatur</t>
  </si>
  <si>
    <t>°C</t>
  </si>
  <si>
    <t>Pa</t>
  </si>
  <si>
    <t>Kühler 1</t>
  </si>
  <si>
    <t>Kühler 2</t>
  </si>
  <si>
    <t>Kühler 3</t>
  </si>
  <si>
    <t>Kühler 4</t>
  </si>
  <si>
    <t>Kühler 5</t>
  </si>
  <si>
    <t>Kühler 6</t>
  </si>
  <si>
    <t>Kühler 7</t>
  </si>
  <si>
    <t>Kühler 8</t>
  </si>
  <si>
    <t>Kühler 9</t>
  </si>
  <si>
    <t>Radiator 1</t>
  </si>
  <si>
    <t>Radiator 2</t>
  </si>
  <si>
    <t>Radiator 3</t>
  </si>
  <si>
    <t>Radiator 4</t>
  </si>
  <si>
    <t>Radiator 5</t>
  </si>
  <si>
    <t>Radiator 6</t>
  </si>
  <si>
    <t>Kühler 10</t>
  </si>
  <si>
    <t>Fittinge</t>
  </si>
  <si>
    <t>Einschraub Einlass 10 mm</t>
  </si>
  <si>
    <t>Einschraub Auslass 10 mm</t>
  </si>
  <si>
    <t>Einschraub Einlass 10 mm 90°</t>
  </si>
  <si>
    <t>Einschraub Auslass 10 mm 90°</t>
  </si>
  <si>
    <t>Einschraub Einlass 10 mm 45°</t>
  </si>
  <si>
    <t>Einschraub Auslass 10 mm 45°</t>
  </si>
  <si>
    <t>Winkel 10 mm 90°</t>
  </si>
  <si>
    <t>Winkel 10 mm 45°</t>
  </si>
  <si>
    <t>ID</t>
  </si>
  <si>
    <t>Anzahl ID 1</t>
  </si>
  <si>
    <t>Anzahl ID 2</t>
  </si>
  <si>
    <t>Anzahl ID 3</t>
  </si>
  <si>
    <t>Anzahl ID 4</t>
  </si>
  <si>
    <t>Anzahl ID 5</t>
  </si>
  <si>
    <t>Anzahl ID 6</t>
  </si>
  <si>
    <t>Anzahl ID 7</t>
  </si>
  <si>
    <t>Anzahl ID 8</t>
  </si>
  <si>
    <t>Anzahl ID 9</t>
  </si>
  <si>
    <t>Anzahl ID 10</t>
  </si>
  <si>
    <t>Anzahl ID 11</t>
  </si>
  <si>
    <t>Anzahl ID 12</t>
  </si>
  <si>
    <t>Anzahl ID 13</t>
  </si>
  <si>
    <t>Anzahl ID 14</t>
  </si>
  <si>
    <t>Anzahl ID 15</t>
  </si>
  <si>
    <t>Anzahl ID 16</t>
  </si>
  <si>
    <t>Anzahl ID 17</t>
  </si>
  <si>
    <t>Anzahl ID 18</t>
  </si>
  <si>
    <t>Anzahl ID 19</t>
  </si>
  <si>
    <t>Anzahl ID 20</t>
  </si>
  <si>
    <t>Anzahl ID 21</t>
  </si>
  <si>
    <t>Anzahl ID 22</t>
  </si>
  <si>
    <t>Anzahl ID 23</t>
  </si>
  <si>
    <t>Anzahl ID 24</t>
  </si>
  <si>
    <t>Radiator 7</t>
  </si>
  <si>
    <t>Radiator 8</t>
  </si>
  <si>
    <t>Schlauch/Rohr</t>
  </si>
  <si>
    <t>Schlauch 10 mm 0,5 Meter</t>
  </si>
  <si>
    <t>Meter</t>
  </si>
  <si>
    <t>Bögen</t>
  </si>
  <si>
    <t>Durchmesser</t>
  </si>
  <si>
    <t>mm</t>
  </si>
  <si>
    <t>Radius</t>
  </si>
  <si>
    <t>Winkel</t>
  </si>
  <si>
    <t>°</t>
  </si>
  <si>
    <t>Radiator 9</t>
  </si>
  <si>
    <t>Radiator 10</t>
  </si>
  <si>
    <t>Druckdifferenz</t>
  </si>
  <si>
    <t>Gesamt</t>
  </si>
  <si>
    <t>kg/s</t>
  </si>
  <si>
    <t>im Auswahlmenü die Pumpe oder Drehzahlfaktor zum Vergleich wählen</t>
  </si>
  <si>
    <t>Auswahlmenü für Schlauchdurchmesser, Fittinge. Automatische Ermittlung der Druckdifferenzwerte bei erfolgter Auswahl im Auswahlmenü</t>
  </si>
  <si>
    <t>Faktor</t>
  </si>
  <si>
    <t>kg/m³</t>
  </si>
  <si>
    <t>unter Restriktionen Werte für  die Temperatur sowie für die Komponenten in Pascal eingeben</t>
  </si>
  <si>
    <t>mm²/s</t>
  </si>
  <si>
    <t>L/h</t>
  </si>
  <si>
    <t xml:space="preserve">bei gleichen Komponenten paralleler Anordnung wird der Gesamtwiderstand als einzelne Komponente zusammengefasst. Beispiel 2x 4000 = 2000. Das kann im Feld Faktor, Beispiel 0,5, berücksichtigt werden. </t>
  </si>
  <si>
    <t>Faktor 1 ~ 240x30 Radiator, Faktor 1,263 ~ 360x30 mm, Faktor 1,538 ~ 480x30 mm, Faktor 1,042 ~ 280x30 mm, Faktor 0,871 ~ 360x45</t>
  </si>
  <si>
    <t>m</t>
  </si>
  <si>
    <t>Datensatz 1</t>
  </si>
  <si>
    <t>Datensatz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</si>
</sst>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11" fontId="0" fillId="0" borderId="0" xfId="0" applyNumberFormat="1" applyAlignment="1">
      <alignment horizontal="center"/>
    </xf>
    <xf numFmtId="164" fontId="0" fillId="0" borderId="0" xfId="0" applyNumberFormat="1"/>
    <xf numFmtId="0" fontId="0" fillId="0" borderId="0" xfId="0" applyAlignment="1">
      <alignment horizontal="left"/>
    </xf>
    <xf numFmtId="2" fontId="0" fillId="0" borderId="0" xfId="0" applyNumberFormat="1"/>
    <xf numFmtId="1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 applyAlignment="1">
      <alignment horizontal="right"/>
    </xf>
    <xf numFmtId="1" fontId="0" fillId="0" borderId="0" xfId="0" applyNumberFormat="1"/>
    <xf numFmtId="165" fontId="0" fillId="0" borderId="0" xfId="0" applyNumberFormat="1"/>
    <xf numFmtId="0" fontId="4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erreichbarer</a:t>
            </a:r>
            <a:r>
              <a:rPr lang="de-DE" baseline="0"/>
              <a:t> Volumenstrom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Restriktionen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Tabelle1!$M$228:$Y$228</c:f>
              <c:numCache>
                <c:formatCode>0.0</c:formatCode>
                <c:ptCount val="13"/>
                <c:pt idx="0">
                  <c:v>0</c:v>
                </c:pt>
                <c:pt idx="1">
                  <c:v>28.628336825305844</c:v>
                </c:pt>
                <c:pt idx="2">
                  <c:v>50.099589444285222</c:v>
                </c:pt>
                <c:pt idx="3">
                  <c:v>71.570842063264607</c:v>
                </c:pt>
                <c:pt idx="4">
                  <c:v>93.042094682243984</c:v>
                </c:pt>
                <c:pt idx="5">
                  <c:v>114.51334730122338</c:v>
                </c:pt>
                <c:pt idx="6">
                  <c:v>135.98459992020275</c:v>
                </c:pt>
                <c:pt idx="7">
                  <c:v>157.45585253918213</c:v>
                </c:pt>
                <c:pt idx="8">
                  <c:v>178.92710515816151</c:v>
                </c:pt>
                <c:pt idx="9">
                  <c:v>200.39835777714089</c:v>
                </c:pt>
                <c:pt idx="10">
                  <c:v>221.86961039612027</c:v>
                </c:pt>
                <c:pt idx="11">
                  <c:v>243.34086301509967</c:v>
                </c:pt>
                <c:pt idx="12">
                  <c:v>264.81211563407902</c:v>
                </c:pt>
              </c:numCache>
            </c:numRef>
          </c:xVal>
          <c:yVal>
            <c:numRef>
              <c:f>Tabelle1!$M$229:$Y$229</c:f>
              <c:numCache>
                <c:formatCode>0</c:formatCode>
                <c:ptCount val="13"/>
                <c:pt idx="0">
                  <c:v>0</c:v>
                </c:pt>
                <c:pt idx="1">
                  <c:v>4232.1291810404955</c:v>
                </c:pt>
                <c:pt idx="2">
                  <c:v>8870.3840359498063</c:v>
                </c:pt>
                <c:pt idx="3">
                  <c:v>14679.28803674253</c:v>
                </c:pt>
                <c:pt idx="4">
                  <c:v>21584.107538656172</c:v>
                </c:pt>
                <c:pt idx="5">
                  <c:v>29548.140926320284</c:v>
                </c:pt>
                <c:pt idx="6">
                  <c:v>38577.570124650258</c:v>
                </c:pt>
                <c:pt idx="7">
                  <c:v>48673.624014406007</c:v>
                </c:pt>
                <c:pt idx="8">
                  <c:v>59783.323506668414</c:v>
                </c:pt>
                <c:pt idx="9">
                  <c:v>71975.828719385463</c:v>
                </c:pt>
                <c:pt idx="10">
                  <c:v>85159.336490128146</c:v>
                </c:pt>
                <c:pt idx="11">
                  <c:v>99409.399893436901</c:v>
                </c:pt>
                <c:pt idx="12">
                  <c:v>114634.7037587846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685-4D15-A59D-604BFB09AF1D}"/>
            </c:ext>
          </c:extLst>
        </c:ser>
        <c:ser>
          <c:idx val="1"/>
          <c:order val="1"/>
          <c:tx>
            <c:v>Datensatz 1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Tabelle1!$A$23:$A$523</c:f>
              <c:numCache>
                <c:formatCode>General</c:formatCode>
                <c:ptCount val="5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</c:numCache>
            </c:numRef>
          </c:xVal>
          <c:yVal>
            <c:numRef>
              <c:f>Tabelle1!$B$23:$B$523</c:f>
              <c:numCache>
                <c:formatCode>0</c:formatCode>
                <c:ptCount val="501"/>
                <c:pt idx="0">
                  <c:v>46009.932780000003</c:v>
                </c:pt>
                <c:pt idx="1">
                  <c:v>46009.876273537368</c:v>
                </c:pt>
                <c:pt idx="2">
                  <c:v>46009.674937910859</c:v>
                </c:pt>
                <c:pt idx="3">
                  <c:v>46009.306175270271</c:v>
                </c:pt>
                <c:pt idx="4">
                  <c:v>46008.756232401101</c:v>
                </c:pt>
                <c:pt idx="5">
                  <c:v>46008.014807259693</c:v>
                </c:pt>
                <c:pt idx="6">
                  <c:v>46007.073548240536</c:v>
                </c:pt>
                <c:pt idx="7">
                  <c:v>46005.925378757624</c:v>
                </c:pt>
                <c:pt idx="8">
                  <c:v>46004.564128756727</c:v>
                </c:pt>
                <c:pt idx="9">
                  <c:v>46002.984309524167</c:v>
                </c:pt>
                <c:pt idx="10">
                  <c:v>46001.180965159321</c:v>
                </c:pt>
                <c:pt idx="11">
                  <c:v>45999.149569049056</c:v>
                </c:pt>
                <c:pt idx="12">
                  <c:v>45996.885948614137</c:v>
                </c:pt>
                <c:pt idx="13">
                  <c:v>45994.386228766336</c:v>
                </c:pt>
                <c:pt idx="14">
                  <c:v>45991.646788271035</c:v>
                </c:pt>
                <c:pt idx="15">
                  <c:v>45988.664225316053</c:v>
                </c:pt>
                <c:pt idx="16">
                  <c:v>45985.435329834057</c:v>
                </c:pt>
                <c:pt idx="17">
                  <c:v>45981.957060897439</c:v>
                </c:pt>
                <c:pt idx="18">
                  <c:v>45978.226528001571</c:v>
                </c:pt>
                <c:pt idx="19">
                  <c:v>45974.24097538081</c:v>
                </c:pt>
                <c:pt idx="20">
                  <c:v>45969.997768726993</c:v>
                </c:pt>
                <c:pt idx="21">
                  <c:v>45965.494383836747</c:v>
                </c:pt>
                <c:pt idx="22">
                  <c:v>45960.728396826387</c:v>
                </c:pt>
                <c:pt idx="23">
                  <c:v>45955.697475634348</c:v>
                </c:pt>
                <c:pt idx="24">
                  <c:v>45950.399372591812</c:v>
                </c:pt>
                <c:pt idx="25">
                  <c:v>45944.831917886906</c:v>
                </c:pt>
                <c:pt idx="26">
                  <c:v>45938.993013782972</c:v>
                </c:pt>
                <c:pt idx="27">
                  <c:v>45932.880629477251</c:v>
                </c:pt>
                <c:pt idx="28">
                  <c:v>45926.492796507664</c:v>
                </c:pt>
                <c:pt idx="29">
                  <c:v>45919.827604631144</c:v>
                </c:pt>
                <c:pt idx="30">
                  <c:v>45912.883198110372</c:v>
                </c:pt>
                <c:pt idx="31">
                  <c:v>45905.657772355647</c:v>
                </c:pt>
                <c:pt idx="32">
                  <c:v>45898.149570877569</c:v>
                </c:pt>
                <c:pt idx="33">
                  <c:v>45890.356882512671</c:v>
                </c:pt>
                <c:pt idx="34">
                  <c:v>45882.278038889846</c:v>
                </c:pt>
                <c:pt idx="35">
                  <c:v>45873.911412110108</c:v>
                </c:pt>
                <c:pt idx="36">
                  <c:v>45865.255412615996</c:v>
                </c:pt>
                <c:pt idx="37">
                  <c:v>45856.308487230286</c:v>
                </c:pt>
                <c:pt idx="38">
                  <c:v>45847.069117346211</c:v>
                </c:pt>
                <c:pt idx="39">
                  <c:v>45837.5358172536</c:v>
                </c:pt>
                <c:pt idx="40">
                  <c:v>45827.707132587791</c:v>
                </c:pt>
                <c:pt idx="41">
                  <c:v>45817.581638889031</c:v>
                </c:pt>
                <c:pt idx="42">
                  <c:v>45807.157940262274</c:v>
                </c:pt>
                <c:pt idx="43">
                  <c:v>45796.43466812792</c:v>
                </c:pt>
                <c:pt idx="44">
                  <c:v>45785.410480055369</c:v>
                </c:pt>
                <c:pt idx="45">
                  <c:v>45774.084058672182</c:v>
                </c:pt>
                <c:pt idx="46">
                  <c:v>45762.454110642306</c:v>
                </c:pt>
                <c:pt idx="47">
                  <c:v>45750.519365707485</c:v>
                </c:pt>
                <c:pt idx="48">
                  <c:v>45738.278575786862</c:v>
                </c:pt>
                <c:pt idx="49">
                  <c:v>45725.730514129893</c:v>
                </c:pt>
                <c:pt idx="50">
                  <c:v>45712.873974518501</c:v>
                </c:pt>
                <c:pt idx="51">
                  <c:v>45699.707770514622</c:v>
                </c:pt>
                <c:pt idx="52">
                  <c:v>45686.230734749697</c:v>
                </c:pt>
                <c:pt idx="53">
                  <c:v>45672.441718252987</c:v>
                </c:pt>
                <c:pt idx="54">
                  <c:v>45658.339589816052</c:v>
                </c:pt>
                <c:pt idx="55">
                  <c:v>45643.923235390532</c:v>
                </c:pt>
                <c:pt idx="56">
                  <c:v>45629.191557517086</c:v>
                </c:pt>
                <c:pt idx="57">
                  <c:v>45614.143474783385</c:v>
                </c:pt>
                <c:pt idx="58">
                  <c:v>45598.777921308982</c:v>
                </c:pt>
                <c:pt idx="59">
                  <c:v>45583.093846255513</c:v>
                </c:pt>
                <c:pt idx="60">
                  <c:v>45567.090213360425</c:v>
                </c:pt>
                <c:pt idx="61">
                  <c:v>45550.76600049276</c:v>
                </c:pt>
                <c:pt idx="62">
                  <c:v>45534.120199229634</c:v>
                </c:pt>
                <c:pt idx="63">
                  <c:v>45517.151814452096</c:v>
                </c:pt>
                <c:pt idx="64">
                  <c:v>45499.859863959158</c:v>
                </c:pt>
                <c:pt idx="65">
                  <c:v>45482.243378099003</c:v>
                </c:pt>
                <c:pt idx="66">
                  <c:v>45464.301399416203</c:v>
                </c:pt>
                <c:pt idx="67">
                  <c:v>45446.032982314166</c:v>
                </c:pt>
                <c:pt idx="68">
                  <c:v>45427.437192731828</c:v>
                </c:pt>
                <c:pt idx="69">
                  <c:v>45408.513107833889</c:v>
                </c:pt>
                <c:pt idx="70">
                  <c:v>45389.259815713645</c:v>
                </c:pt>
                <c:pt idx="71">
                  <c:v>45369.676415107999</c:v>
                </c:pt>
                <c:pt idx="72">
                  <c:v>45349.762015123801</c:v>
                </c:pt>
                <c:pt idx="73">
                  <c:v>45329.515734974892</c:v>
                </c:pt>
                <c:pt idx="74">
                  <c:v>45308.936703729451</c:v>
                </c:pt>
                <c:pt idx="75">
                  <c:v>45288.024060066993</c:v>
                </c:pt>
                <c:pt idx="76">
                  <c:v>45266.776952044471</c:v>
                </c:pt>
                <c:pt idx="77">
                  <c:v>45245.194536871189</c:v>
                </c:pt>
                <c:pt idx="78">
                  <c:v>45223.275980691949</c:v>
                </c:pt>
                <c:pt idx="79">
                  <c:v>45201.020458378116</c:v>
                </c:pt>
                <c:pt idx="80">
                  <c:v>45178.427153326062</c:v>
                </c:pt>
                <c:pt idx="81">
                  <c:v>45155.495257262883</c:v>
                </c:pt>
                <c:pt idx="82">
                  <c:v>45132.223970058854</c:v>
                </c:pt>
                <c:pt idx="83">
                  <c:v>45108.612499546289</c:v>
                </c:pt>
                <c:pt idx="84">
                  <c:v>45084.660061344664</c:v>
                </c:pt>
                <c:pt idx="85">
                  <c:v>45060.365878691657</c:v>
                </c:pt>
                <c:pt idx="86">
                  <c:v>45035.72918227964</c:v>
                </c:pt>
                <c:pt idx="87">
                  <c:v>45010.749210097849</c:v>
                </c:pt>
                <c:pt idx="88">
                  <c:v>44985.425207279339</c:v>
                </c:pt>
                <c:pt idx="89">
                  <c:v>44959.756425953172</c:v>
                </c:pt>
                <c:pt idx="90">
                  <c:v>44933.742125101067</c:v>
                </c:pt>
                <c:pt idx="91">
                  <c:v>44907.381570418729</c:v>
                </c:pt>
                <c:pt idx="92">
                  <c:v>44880.674034181364</c:v>
                </c:pt>
                <c:pt idx="93">
                  <c:v>44853.618795113405</c:v>
                </c:pt>
                <c:pt idx="94">
                  <c:v>44826.215138262196</c:v>
                </c:pt>
                <c:pt idx="95">
                  <c:v>44798.462354875395</c:v>
                </c:pt>
                <c:pt idx="96">
                  <c:v>44770.359742282126</c:v>
                </c:pt>
                <c:pt idx="97">
                  <c:v>44741.906603777614</c:v>
                </c:pt>
                <c:pt idx="98">
                  <c:v>44713.102248511132</c:v>
                </c:pt>
                <c:pt idx="99">
                  <c:v>44683.945991377208</c:v>
                </c:pt>
                <c:pt idx="100">
                  <c:v>44654.437152909959</c:v>
                </c:pt>
                <c:pt idx="101">
                  <c:v>44624.575059180403</c:v>
                </c:pt>
                <c:pt idx="102">
                  <c:v>44594.359041696604</c:v>
                </c:pt>
                <c:pt idx="103">
                  <c:v>44563.788437306626</c:v>
                </c:pt>
                <c:pt idx="104">
                  <c:v>44532.862588104195</c:v>
                </c:pt>
                <c:pt idx="105">
                  <c:v>44501.580841336792</c:v>
                </c:pt>
                <c:pt idx="106">
                  <c:v>44469.94254931638</c:v>
                </c:pt>
                <c:pt idx="107">
                  <c:v>44437.947069332338</c:v>
                </c:pt>
                <c:pt idx="108">
                  <c:v>44405.593763566896</c:v>
                </c:pt>
                <c:pt idx="109">
                  <c:v>44372.881999012578</c:v>
                </c:pt>
                <c:pt idx="110">
                  <c:v>44339.811147391927</c:v>
                </c:pt>
                <c:pt idx="111">
                  <c:v>44306.380585079278</c:v>
                </c:pt>
                <c:pt idx="112">
                  <c:v>44272.589693024405</c:v>
                </c:pt>
                <c:pt idx="113">
                  <c:v>44238.437856678247</c:v>
                </c:pt>
                <c:pt idx="114">
                  <c:v>44203.924465920427</c:v>
                </c:pt>
                <c:pt idx="115">
                  <c:v>44169.048914988503</c:v>
                </c:pt>
                <c:pt idx="116">
                  <c:v>44133.810602409081</c:v>
                </c:pt>
                <c:pt idx="117">
                  <c:v>44098.208930930523</c:v>
                </c:pt>
                <c:pt idx="118">
                  <c:v>44062.243307457269</c:v>
                </c:pt>
                <c:pt idx="119">
                  <c:v>44025.91314298581</c:v>
                </c:pt>
                <c:pt idx="120">
                  <c:v>43989.217852542075</c:v>
                </c:pt>
                <c:pt idx="121">
                  <c:v>43952.156855120418</c:v>
                </c:pt>
                <c:pt idx="122">
                  <c:v>43914.729573623888</c:v>
                </c:pt>
                <c:pt idx="123">
                  <c:v>43876.935434806001</c:v>
                </c:pt>
                <c:pt idx="124">
                  <c:v>43838.773869213779</c:v>
                </c:pt>
                <c:pt idx="125">
                  <c:v>43800.24431113209</c:v>
                </c:pt>
                <c:pt idx="126">
                  <c:v>43761.346198529318</c:v>
                </c:pt>
                <c:pt idx="127">
                  <c:v>43722.078973004151</c:v>
                </c:pt>
                <c:pt idx="128">
                  <c:v>43682.442079733599</c:v>
                </c:pt>
                <c:pt idx="129">
                  <c:v>43642.434967422159</c:v>
                </c:pt>
                <c:pt idx="130">
                  <c:v>43602.057088252091</c:v>
                </c:pt>
                <c:pt idx="131">
                  <c:v>43561.307897834813</c:v>
                </c:pt>
                <c:pt idx="132">
                  <c:v>43520.186855163207</c:v>
                </c:pt>
                <c:pt idx="133">
                  <c:v>43478.693422565135</c:v>
                </c:pt>
                <c:pt idx="134">
                  <c:v>43436.827065657795</c:v>
                </c:pt>
                <c:pt idx="135">
                  <c:v>43394.587253303114</c:v>
                </c:pt>
                <c:pt idx="136">
                  <c:v>43351.973457564025</c:v>
                </c:pt>
                <c:pt idx="137">
                  <c:v>43308.985153661706</c:v>
                </c:pt>
                <c:pt idx="138">
                  <c:v>43265.621819933658</c:v>
                </c:pt>
                <c:pt idx="139">
                  <c:v>43221.882937792652</c:v>
                </c:pt>
                <c:pt idx="140">
                  <c:v>43177.76799168648</c:v>
                </c:pt>
                <c:pt idx="141">
                  <c:v>43133.276469058612</c:v>
                </c:pt>
                <c:pt idx="142">
                  <c:v>43088.407860309548</c:v>
                </c:pt>
                <c:pt idx="143">
                  <c:v>43043.161658758916</c:v>
                </c:pt>
                <c:pt idx="144">
                  <c:v>42997.537360608461</c:v>
                </c:pt>
                <c:pt idx="145">
                  <c:v>42951.534464905591</c:v>
                </c:pt>
                <c:pt idx="146">
                  <c:v>42905.15247350774</c:v>
                </c:pt>
                <c:pt idx="147">
                  <c:v>42858.390891047369</c:v>
                </c:pt>
                <c:pt idx="148">
                  <c:v>42811.249224897692</c:v>
                </c:pt>
                <c:pt idx="149">
                  <c:v>42763.726985138994</c:v>
                </c:pt>
                <c:pt idx="150">
                  <c:v>42715.823684525618</c:v>
                </c:pt>
                <c:pt idx="151">
                  <c:v>42667.538838453562</c:v>
                </c:pt>
                <c:pt idx="152">
                  <c:v>42618.87196492868</c:v>
                </c:pt>
                <c:pt idx="153">
                  <c:v>42569.822584535541</c:v>
                </c:pt>
                <c:pt idx="154">
                  <c:v>42520.39022040672</c:v>
                </c:pt>
                <c:pt idx="155">
                  <c:v>42470.574398192788</c:v>
                </c:pt>
                <c:pt idx="156">
                  <c:v>42420.374646032753</c:v>
                </c:pt>
                <c:pt idx="157">
                  <c:v>42369.790494525128</c:v>
                </c:pt>
                <c:pt idx="158">
                  <c:v>42318.821476699421</c:v>
                </c:pt>
                <c:pt idx="159">
                  <c:v>42267.467127988224</c:v>
                </c:pt>
                <c:pt idx="160">
                  <c:v>42215.726986199712</c:v>
                </c:pt>
                <c:pt idx="161">
                  <c:v>42163.600591490649</c:v>
                </c:pt>
                <c:pt idx="162">
                  <c:v>42111.087486339995</c:v>
                </c:pt>
                <c:pt idx="163">
                  <c:v>42058.187215522732</c:v>
                </c:pt>
                <c:pt idx="164">
                  <c:v>42004.899326084349</c:v>
                </c:pt>
                <c:pt idx="165">
                  <c:v>41951.223367315695</c:v>
                </c:pt>
                <c:pt idx="166">
                  <c:v>41897.158890728198</c:v>
                </c:pt>
                <c:pt idx="167">
                  <c:v>41842.705450029651</c:v>
                </c:pt>
                <c:pt idx="168">
                  <c:v>41787.862601100263</c:v>
                </c:pt>
                <c:pt idx="169">
                  <c:v>41732.629901969129</c:v>
                </c:pt>
                <c:pt idx="170">
                  <c:v>41677.006912791265</c:v>
                </c:pt>
                <c:pt idx="171">
                  <c:v>41620.993195824762</c:v>
                </c:pt>
                <c:pt idx="172">
                  <c:v>41564.588315408539</c:v>
                </c:pt>
                <c:pt idx="173">
                  <c:v>41507.791837940291</c:v>
                </c:pt>
                <c:pt idx="174">
                  <c:v>41450.603331854953</c:v>
                </c:pt>
                <c:pt idx="175">
                  <c:v>41393.022367603327</c:v>
                </c:pt>
                <c:pt idx="176">
                  <c:v>41335.048517631352</c:v>
                </c:pt>
                <c:pt idx="177">
                  <c:v>41276.681356359251</c:v>
                </c:pt>
                <c:pt idx="178">
                  <c:v>41217.920460161513</c:v>
                </c:pt>
                <c:pt idx="179">
                  <c:v>41158.765407346822</c:v>
                </c:pt>
                <c:pt idx="180">
                  <c:v>41099.215778138459</c:v>
                </c:pt>
                <c:pt idx="181">
                  <c:v>41039.271154655013</c:v>
                </c:pt>
                <c:pt idx="182">
                  <c:v>40978.93112089135</c:v>
                </c:pt>
                <c:pt idx="183">
                  <c:v>40918.195262699839</c:v>
                </c:pt>
                <c:pt idx="184">
                  <c:v>40857.063167772045</c:v>
                </c:pt>
                <c:pt idx="185">
                  <c:v>40795.534425620433</c:v>
                </c:pt>
                <c:pt idx="186">
                  <c:v>40733.608627560578</c:v>
                </c:pt>
                <c:pt idx="187">
                  <c:v>40671.285366693592</c:v>
                </c:pt>
                <c:pt idx="188">
                  <c:v>40608.564237888677</c:v>
                </c:pt>
                <c:pt idx="189">
                  <c:v>40545.444837766147</c:v>
                </c:pt>
                <c:pt idx="190">
                  <c:v>40481.926764680567</c:v>
                </c:pt>
                <c:pt idx="191">
                  <c:v>40418.009618704178</c:v>
                </c:pt>
                <c:pt idx="192">
                  <c:v>40353.693001610547</c:v>
                </c:pt>
                <c:pt idx="193">
                  <c:v>40288.976516858558</c:v>
                </c:pt>
                <c:pt idx="194">
                  <c:v>40223.859769576462</c:v>
                </c:pt>
                <c:pt idx="195">
                  <c:v>40158.342366546305</c:v>
                </c:pt>
                <c:pt idx="196">
                  <c:v>40092.42391618852</c:v>
                </c:pt>
                <c:pt idx="197">
                  <c:v>40026.104028546753</c:v>
                </c:pt>
                <c:pt idx="198">
                  <c:v>39959.382315272895</c:v>
                </c:pt>
                <c:pt idx="199">
                  <c:v>39892.258389612354</c:v>
                </c:pt>
                <c:pt idx="200">
                  <c:v>39824.731866389498</c:v>
                </c:pt>
                <c:pt idx="201">
                  <c:v>39756.802361993294</c:v>
                </c:pt>
                <c:pt idx="202">
                  <c:v>39688.469494363293</c:v>
                </c:pt>
                <c:pt idx="203">
                  <c:v>39619.732882975579</c:v>
                </c:pt>
                <c:pt idx="204">
                  <c:v>39550.592148829011</c:v>
                </c:pt>
                <c:pt idx="205">
                  <c:v>39481.046914431776</c:v>
                </c:pt>
                <c:pt idx="206">
                  <c:v>39411.096803788016</c:v>
                </c:pt>
                <c:pt idx="207">
                  <c:v>39340.741442384504</c:v>
                </c:pt>
                <c:pt idx="208">
                  <c:v>39269.980457177793</c:v>
                </c:pt>
                <c:pt idx="209">
                  <c:v>39198.813476581359</c:v>
                </c:pt>
                <c:pt idx="210">
                  <c:v>39127.24013045289</c:v>
                </c:pt>
                <c:pt idx="211">
                  <c:v>39055.260050081823</c:v>
                </c:pt>
                <c:pt idx="212">
                  <c:v>38982.872868177103</c:v>
                </c:pt>
                <c:pt idx="213">
                  <c:v>38910.078218854913</c:v>
                </c:pt>
                <c:pt idx="214">
                  <c:v>38836.875737626789</c:v>
                </c:pt>
                <c:pt idx="215">
                  <c:v>38763.265061387661</c:v>
                </c:pt>
                <c:pt idx="216">
                  <c:v>38689.245828404302</c:v>
                </c:pt>
                <c:pt idx="217">
                  <c:v>38614.817678303756</c:v>
                </c:pt>
                <c:pt idx="218">
                  <c:v>38539.980252061927</c:v>
                </c:pt>
                <c:pt idx="219">
                  <c:v>38464.733191992338</c:v>
                </c:pt>
                <c:pt idx="220">
                  <c:v>38389.076141735124</c:v>
                </c:pt>
                <c:pt idx="221">
                  <c:v>38313.008746246072</c:v>
                </c:pt>
                <c:pt idx="222">
                  <c:v>38236.530651785717</c:v>
                </c:pt>
                <c:pt idx="223">
                  <c:v>38159.641505908774</c:v>
                </c:pt>
                <c:pt idx="224">
                  <c:v>38082.340957453598</c:v>
                </c:pt>
                <c:pt idx="225">
                  <c:v>38004.628656531742</c:v>
                </c:pt>
                <c:pt idx="226">
                  <c:v>37926.504254517713</c:v>
                </c:pt>
                <c:pt idx="227">
                  <c:v>37847.967404038856</c:v>
                </c:pt>
                <c:pt idx="228">
                  <c:v>37769.017758965245</c:v>
                </c:pt>
                <c:pt idx="229">
                  <c:v>37689.65497439992</c:v>
                </c:pt>
                <c:pt idx="230">
                  <c:v>37609.878706669013</c:v>
                </c:pt>
                <c:pt idx="231">
                  <c:v>37529.688613312144</c:v>
                </c:pt>
                <c:pt idx="232">
                  <c:v>37449.084353072889</c:v>
                </c:pt>
                <c:pt idx="233">
                  <c:v>37368.065585889359</c:v>
                </c:pt>
                <c:pt idx="234">
                  <c:v>37286.631972884839</c:v>
                </c:pt>
                <c:pt idx="235">
                  <c:v>37204.783176358746</c:v>
                </c:pt>
                <c:pt idx="236">
                  <c:v>37122.518859777352</c:v>
                </c:pt>
                <c:pt idx="237">
                  <c:v>37039.838687764975</c:v>
                </c:pt>
                <c:pt idx="238">
                  <c:v>36956.742326095038</c:v>
                </c:pt>
                <c:pt idx="239">
                  <c:v>36873.229441681287</c:v>
                </c:pt>
                <c:pt idx="240">
                  <c:v>36789.299702569209</c:v>
                </c:pt>
                <c:pt idx="241">
                  <c:v>36704.952777927407</c:v>
                </c:pt>
                <c:pt idx="242">
                  <c:v>36620.188338039115</c:v>
                </c:pt>
                <c:pt idx="243">
                  <c:v>36535.006054294048</c:v>
                </c:pt>
                <c:pt idx="244">
                  <c:v>36449.405599179801</c:v>
                </c:pt>
                <c:pt idx="245">
                  <c:v>36363.38664627399</c:v>
                </c:pt>
                <c:pt idx="246">
                  <c:v>36276.948870236032</c:v>
                </c:pt>
                <c:pt idx="247">
                  <c:v>36190.09194679917</c:v>
                </c:pt>
                <c:pt idx="248">
                  <c:v>36102.81555276263</c:v>
                </c:pt>
                <c:pt idx="249">
                  <c:v>36015.11936598381</c:v>
                </c:pt>
                <c:pt idx="250">
                  <c:v>35927.003065370525</c:v>
                </c:pt>
                <c:pt idx="251">
                  <c:v>35838.466330873438</c:v>
                </c:pt>
                <c:pt idx="252">
                  <c:v>35749.508843478514</c:v>
                </c:pt>
                <c:pt idx="253">
                  <c:v>35660.130285199542</c:v>
                </c:pt>
                <c:pt idx="254">
                  <c:v>35570.330339070759</c:v>
                </c:pt>
                <c:pt idx="255">
                  <c:v>35480.108689139655</c:v>
                </c:pt>
                <c:pt idx="256">
                  <c:v>35389.46502045956</c:v>
                </c:pt>
                <c:pt idx="257">
                  <c:v>35298.399019082761</c:v>
                </c:pt>
                <c:pt idx="258">
                  <c:v>35206.910372053288</c:v>
                </c:pt>
                <c:pt idx="259">
                  <c:v>35114.998767399993</c:v>
                </c:pt>
                <c:pt idx="260">
                  <c:v>35022.663894129604</c:v>
                </c:pt>
                <c:pt idx="261">
                  <c:v>34929.905442220013</c:v>
                </c:pt>
                <c:pt idx="262">
                  <c:v>34836.723102613403</c:v>
                </c:pt>
                <c:pt idx="263">
                  <c:v>34743.116567209625</c:v>
                </c:pt>
                <c:pt idx="264">
                  <c:v>34649.085528859621</c:v>
                </c:pt>
                <c:pt idx="265">
                  <c:v>34554.629681358849</c:v>
                </c:pt>
                <c:pt idx="266">
                  <c:v>34459.748719440766</c:v>
                </c:pt>
                <c:pt idx="267">
                  <c:v>34364.442338770612</c:v>
                </c:pt>
                <c:pt idx="268">
                  <c:v>34268.71023593883</c:v>
                </c:pt>
                <c:pt idx="269">
                  <c:v>34172.552108455013</c:v>
                </c:pt>
                <c:pt idx="270">
                  <c:v>34075.967654741566</c:v>
                </c:pt>
                <c:pt idx="271">
                  <c:v>33978.956574127704</c:v>
                </c:pt>
                <c:pt idx="272">
                  <c:v>33881.518566843253</c:v>
                </c:pt>
                <c:pt idx="273">
                  <c:v>33783.653334012728</c:v>
                </c:pt>
                <c:pt idx="274">
                  <c:v>33685.360577649313</c:v>
                </c:pt>
                <c:pt idx="275">
                  <c:v>33586.64000064908</c:v>
                </c:pt>
                <c:pt idx="276">
                  <c:v>33487.491306785145</c:v>
                </c:pt>
                <c:pt idx="277">
                  <c:v>33387.914200701693</c:v>
                </c:pt>
                <c:pt idx="278">
                  <c:v>33287.908387908654</c:v>
                </c:pt>
                <c:pt idx="279">
                  <c:v>33187.473574775759</c:v>
                </c:pt>
                <c:pt idx="280">
                  <c:v>33086.609468527029</c:v>
                </c:pt>
                <c:pt idx="281">
                  <c:v>32985.315777235279</c:v>
                </c:pt>
                <c:pt idx="282">
                  <c:v>32883.592209816605</c:v>
                </c:pt>
                <c:pt idx="283">
                  <c:v>32781.43847602496</c:v>
                </c:pt>
                <c:pt idx="284">
                  <c:v>32678.854286446844</c:v>
                </c:pt>
                <c:pt idx="285">
                  <c:v>32575.839352495852</c:v>
                </c:pt>
                <c:pt idx="286">
                  <c:v>32472.393386407555</c:v>
                </c:pt>
                <c:pt idx="287">
                  <c:v>32368.516101234178</c:v>
                </c:pt>
                <c:pt idx="288">
                  <c:v>32264.207210839522</c:v>
                </c:pt>
                <c:pt idx="289">
                  <c:v>32159.46642989383</c:v>
                </c:pt>
                <c:pt idx="290">
                  <c:v>32054.293473868667</c:v>
                </c:pt>
                <c:pt idx="291">
                  <c:v>31948.68805903196</c:v>
                </c:pt>
                <c:pt idx="292">
                  <c:v>31842.649902443085</c:v>
                </c:pt>
                <c:pt idx="293">
                  <c:v>31736.178721947806</c:v>
                </c:pt>
                <c:pt idx="294">
                  <c:v>31629.274236173584</c:v>
                </c:pt>
                <c:pt idx="295">
                  <c:v>31521.936164524574</c:v>
                </c:pt>
                <c:pt idx="296">
                  <c:v>31414.164227177072</c:v>
                </c:pt>
                <c:pt idx="297">
                  <c:v>31305.958145074506</c:v>
                </c:pt>
                <c:pt idx="298">
                  <c:v>31197.317639922981</c:v>
                </c:pt>
                <c:pt idx="299">
                  <c:v>31088.242434186566</c:v>
                </c:pt>
                <c:pt idx="300">
                  <c:v>30978.732251082671</c:v>
                </c:pt>
                <c:pt idx="301">
                  <c:v>30868.786814577492</c:v>
                </c:pt>
                <c:pt idx="302">
                  <c:v>30758.40584938147</c:v>
                </c:pt>
                <c:pt idx="303">
                  <c:v>30647.58908094501</c:v>
                </c:pt>
                <c:pt idx="304">
                  <c:v>30536.336235453738</c:v>
                </c:pt>
                <c:pt idx="305">
                  <c:v>30424.647039824431</c:v>
                </c:pt>
                <c:pt idx="306">
                  <c:v>30312.521221700477</c:v>
                </c:pt>
                <c:pt idx="307">
                  <c:v>30199.958509447533</c:v>
                </c:pt>
                <c:pt idx="308">
                  <c:v>30086.958632149461</c:v>
                </c:pt>
                <c:pt idx="309">
                  <c:v>29973.521319603879</c:v>
                </c:pt>
                <c:pt idx="310">
                  <c:v>29859.646302318164</c:v>
                </c:pt>
                <c:pt idx="311">
                  <c:v>29745.333311505208</c:v>
                </c:pt>
                <c:pt idx="312">
                  <c:v>29630.582079079148</c:v>
                </c:pt>
                <c:pt idx="313">
                  <c:v>29515.392337651687</c:v>
                </c:pt>
                <c:pt idx="314">
                  <c:v>29399.763820527609</c:v>
                </c:pt>
                <c:pt idx="315">
                  <c:v>29283.696261701065</c:v>
                </c:pt>
                <c:pt idx="316">
                  <c:v>29167.189395851554</c:v>
                </c:pt>
                <c:pt idx="317">
                  <c:v>29050.242958339903</c:v>
                </c:pt>
                <c:pt idx="318">
                  <c:v>28932.856685204402</c:v>
                </c:pt>
                <c:pt idx="319">
                  <c:v>28815.030313157018</c:v>
                </c:pt>
                <c:pt idx="320">
                  <c:v>28696.763579579463</c:v>
                </c:pt>
                <c:pt idx="321">
                  <c:v>28578.056222519463</c:v>
                </c:pt>
                <c:pt idx="322">
                  <c:v>28458.907980686949</c:v>
                </c:pt>
                <c:pt idx="323">
                  <c:v>28339.318593450447</c:v>
                </c:pt>
                <c:pt idx="324">
                  <c:v>28219.287800833146</c:v>
                </c:pt>
                <c:pt idx="325">
                  <c:v>28098.815343509472</c:v>
                </c:pt>
                <c:pt idx="326">
                  <c:v>27977.900962801337</c:v>
                </c:pt>
                <c:pt idx="327">
                  <c:v>27856.544400674578</c:v>
                </c:pt>
                <c:pt idx="328">
                  <c:v>27734.745399735297</c:v>
                </c:pt>
                <c:pt idx="329">
                  <c:v>27612.503703226495</c:v>
                </c:pt>
                <c:pt idx="330">
                  <c:v>27489.819055024374</c:v>
                </c:pt>
                <c:pt idx="331">
                  <c:v>27366.691199634992</c:v>
                </c:pt>
                <c:pt idx="332">
                  <c:v>27243.119882190716</c:v>
                </c:pt>
                <c:pt idx="333">
                  <c:v>27119.104848446852</c:v>
                </c:pt>
                <c:pt idx="334">
                  <c:v>26994.645844778293</c:v>
                </c:pt>
                <c:pt idx="335">
                  <c:v>26869.742618176162</c:v>
                </c:pt>
                <c:pt idx="336">
                  <c:v>26744.394916244244</c:v>
                </c:pt>
                <c:pt idx="337">
                  <c:v>26618.602487196044</c:v>
                </c:pt>
                <c:pt idx="338">
                  <c:v>26492.365079851177</c:v>
                </c:pt>
                <c:pt idx="339">
                  <c:v>26365.682443632406</c:v>
                </c:pt>
                <c:pt idx="340">
                  <c:v>26238.554328562161</c:v>
                </c:pt>
                <c:pt idx="341">
                  <c:v>26110.980485259537</c:v>
                </c:pt>
                <c:pt idx="342">
                  <c:v>25982.960664936993</c:v>
                </c:pt>
                <c:pt idx="343">
                  <c:v>25854.494619397185</c:v>
                </c:pt>
                <c:pt idx="344">
                  <c:v>25725.582101030071</c:v>
                </c:pt>
                <c:pt idx="345">
                  <c:v>25596.222862809453</c:v>
                </c:pt>
                <c:pt idx="346">
                  <c:v>25466.41665829036</c:v>
                </c:pt>
                <c:pt idx="347">
                  <c:v>25336.163241605595</c:v>
                </c:pt>
                <c:pt idx="348">
                  <c:v>25205.462367462838</c:v>
                </c:pt>
                <c:pt idx="349">
                  <c:v>25074.313791141787</c:v>
                </c:pt>
                <c:pt idx="350">
                  <c:v>24942.717268491087</c:v>
                </c:pt>
                <c:pt idx="351">
                  <c:v>24810.672555925285</c:v>
                </c:pt>
                <c:pt idx="352">
                  <c:v>24678.179410422083</c:v>
                </c:pt>
                <c:pt idx="353">
                  <c:v>24545.237589519373</c:v>
                </c:pt>
                <c:pt idx="354">
                  <c:v>24411.846851312308</c:v>
                </c:pt>
                <c:pt idx="355">
                  <c:v>24278.006954450444</c:v>
                </c:pt>
                <c:pt idx="356">
                  <c:v>24143.717658135116</c:v>
                </c:pt>
                <c:pt idx="357">
                  <c:v>24008.978722116284</c:v>
                </c:pt>
                <c:pt idx="358">
                  <c:v>23873.789906689966</c:v>
                </c:pt>
                <c:pt idx="359">
                  <c:v>23738.150972695548</c:v>
                </c:pt>
                <c:pt idx="360">
                  <c:v>23602.061681512703</c:v>
                </c:pt>
                <c:pt idx="361">
                  <c:v>23465.521795059183</c:v>
                </c:pt>
                <c:pt idx="362">
                  <c:v>23328.531075787498</c:v>
                </c:pt>
                <c:pt idx="363">
                  <c:v>23191.089286682851</c:v>
                </c:pt>
                <c:pt idx="364">
                  <c:v>23053.196191260024</c:v>
                </c:pt>
                <c:pt idx="365">
                  <c:v>22914.851553560929</c:v>
                </c:pt>
                <c:pt idx="366">
                  <c:v>22776.055138152078</c:v>
                </c:pt>
                <c:pt idx="367">
                  <c:v>22636.80671012164</c:v>
                </c:pt>
                <c:pt idx="368">
                  <c:v>22497.106035077366</c:v>
                </c:pt>
                <c:pt idx="369">
                  <c:v>22356.952879143631</c:v>
                </c:pt>
                <c:pt idx="370">
                  <c:v>22216.347008959041</c:v>
                </c:pt>
                <c:pt idx="371">
                  <c:v>22075.288191673837</c:v>
                </c:pt>
                <c:pt idx="372">
                  <c:v>21933.77619494759</c:v>
                </c:pt>
                <c:pt idx="373">
                  <c:v>21791.810786946422</c:v>
                </c:pt>
                <c:pt idx="374">
                  <c:v>21649.391736340884</c:v>
                </c:pt>
                <c:pt idx="375">
                  <c:v>21506.51881230322</c:v>
                </c:pt>
                <c:pt idx="376">
                  <c:v>21363.191784505063</c:v>
                </c:pt>
                <c:pt idx="377">
                  <c:v>21219.410423115074</c:v>
                </c:pt>
                <c:pt idx="378">
                  <c:v>21075.174498796394</c:v>
                </c:pt>
                <c:pt idx="379">
                  <c:v>20930.483782704574</c:v>
                </c:pt>
                <c:pt idx="380">
                  <c:v>20785.338046484765</c:v>
                </c:pt>
                <c:pt idx="381">
                  <c:v>20639.737062269844</c:v>
                </c:pt>
                <c:pt idx="382">
                  <c:v>20493.680602677832</c:v>
                </c:pt>
                <c:pt idx="383">
                  <c:v>20347.168440809583</c:v>
                </c:pt>
                <c:pt idx="384">
                  <c:v>20200.200350246618</c:v>
                </c:pt>
                <c:pt idx="385">
                  <c:v>20052.776105048808</c:v>
                </c:pt>
                <c:pt idx="386">
                  <c:v>19904.895479752115</c:v>
                </c:pt>
                <c:pt idx="387">
                  <c:v>19756.558249366364</c:v>
                </c:pt>
                <c:pt idx="388">
                  <c:v>19607.764189372992</c:v>
                </c:pt>
                <c:pt idx="389">
                  <c:v>19458.513075722869</c:v>
                </c:pt>
                <c:pt idx="390">
                  <c:v>19308.804684834042</c:v>
                </c:pt>
                <c:pt idx="391">
                  <c:v>19158.638793589827</c:v>
                </c:pt>
                <c:pt idx="392">
                  <c:v>19008.015179336311</c:v>
                </c:pt>
                <c:pt idx="393">
                  <c:v>18856.933619880368</c:v>
                </c:pt>
                <c:pt idx="394">
                  <c:v>18705.393893487526</c:v>
                </c:pt>
                <c:pt idx="395">
                  <c:v>18553.395778879851</c:v>
                </c:pt>
                <c:pt idx="396">
                  <c:v>18400.939055233921</c:v>
                </c:pt>
                <c:pt idx="397">
                  <c:v>18248.023502178607</c:v>
                </c:pt>
                <c:pt idx="398">
                  <c:v>18094.648899793126</c:v>
                </c:pt>
                <c:pt idx="399">
                  <c:v>17940.815028604866</c:v>
                </c:pt>
                <c:pt idx="400">
                  <c:v>17786.52166958759</c:v>
                </c:pt>
                <c:pt idx="401">
                  <c:v>17631.768604158977</c:v>
                </c:pt>
                <c:pt idx="402">
                  <c:v>17476.555614179208</c:v>
                </c:pt>
                <c:pt idx="403">
                  <c:v>17320.882481948436</c:v>
                </c:pt>
                <c:pt idx="404">
                  <c:v>17164.748990204997</c:v>
                </c:pt>
                <c:pt idx="405">
                  <c:v>17008.154922123809</c:v>
                </c:pt>
                <c:pt idx="406">
                  <c:v>16851.100061313591</c:v>
                </c:pt>
                <c:pt idx="407">
                  <c:v>16693.584191815724</c:v>
                </c:pt>
                <c:pt idx="408">
                  <c:v>16535.607098101947</c:v>
                </c:pt>
                <c:pt idx="409">
                  <c:v>16377.168565072505</c:v>
                </c:pt>
                <c:pt idx="410">
                  <c:v>16218.268378054287</c:v>
                </c:pt>
                <c:pt idx="411">
                  <c:v>16058.906322798903</c:v>
                </c:pt>
                <c:pt idx="412">
                  <c:v>15899.082185480675</c:v>
                </c:pt>
                <c:pt idx="413">
                  <c:v>15738.795752695165</c:v>
                </c:pt>
                <c:pt idx="414">
                  <c:v>15578.046811456976</c:v>
                </c:pt>
                <c:pt idx="415">
                  <c:v>15416.835149197848</c:v>
                </c:pt>
                <c:pt idx="416">
                  <c:v>15255.160553765319</c:v>
                </c:pt>
                <c:pt idx="417">
                  <c:v>15093.02281342035</c:v>
                </c:pt>
                <c:pt idx="418">
                  <c:v>14930.421716835957</c:v>
                </c:pt>
                <c:pt idx="419">
                  <c:v>14767.357053095173</c:v>
                </c:pt>
                <c:pt idx="420">
                  <c:v>14603.828611689347</c:v>
                </c:pt>
                <c:pt idx="421">
                  <c:v>14439.836182516392</c:v>
                </c:pt>
                <c:pt idx="422">
                  <c:v>14275.379555878921</c:v>
                </c:pt>
                <c:pt idx="423">
                  <c:v>14110.458522483006</c:v>
                </c:pt>
                <c:pt idx="424">
                  <c:v>13945.072873435458</c:v>
                </c:pt>
                <c:pt idx="425">
                  <c:v>13779.222400243247</c:v>
                </c:pt>
                <c:pt idx="426">
                  <c:v>13612.906894810993</c:v>
                </c:pt>
                <c:pt idx="427">
                  <c:v>13446.126149439648</c:v>
                </c:pt>
                <c:pt idx="428">
                  <c:v>13278.879956824629</c:v>
                </c:pt>
                <c:pt idx="429">
                  <c:v>13111.168110054257</c:v>
                </c:pt>
                <c:pt idx="430">
                  <c:v>12942.990402608155</c:v>
                </c:pt>
                <c:pt idx="431">
                  <c:v>12774.346628355321</c:v>
                </c:pt>
                <c:pt idx="432">
                  <c:v>12605.236581552806</c:v>
                </c:pt>
                <c:pt idx="433">
                  <c:v>12435.660056844186</c:v>
                </c:pt>
                <c:pt idx="434">
                  <c:v>12265.616849257205</c:v>
                </c:pt>
                <c:pt idx="435">
                  <c:v>12095.106754203112</c:v>
                </c:pt>
                <c:pt idx="436">
                  <c:v>11924.129567474496</c:v>
                </c:pt>
                <c:pt idx="437">
                  <c:v>11752.685085243806</c:v>
                </c:pt>
                <c:pt idx="438">
                  <c:v>11580.773104061875</c:v>
                </c:pt>
                <c:pt idx="439">
                  <c:v>11408.393420856231</c:v>
                </c:pt>
                <c:pt idx="440">
                  <c:v>11235.54583292974</c:v>
                </c:pt>
                <c:pt idx="441">
                  <c:v>11062.230137958626</c:v>
                </c:pt>
                <c:pt idx="442">
                  <c:v>10888.446133991583</c:v>
                </c:pt>
                <c:pt idx="443">
                  <c:v>10714.193619447627</c:v>
                </c:pt>
                <c:pt idx="444">
                  <c:v>10539.472393114995</c:v>
                </c:pt>
                <c:pt idx="445">
                  <c:v>10364.282254149488</c:v>
                </c:pt>
                <c:pt idx="446">
                  <c:v>10188.623002072865</c:v>
                </c:pt>
                <c:pt idx="447">
                  <c:v>10012.494436771622</c:v>
                </c:pt>
                <c:pt idx="448">
                  <c:v>9835.8963584953126</c:v>
                </c:pt>
                <c:pt idx="449">
                  <c:v>9658.8285678549928</c:v>
                </c:pt>
                <c:pt idx="450">
                  <c:v>9481.2908658221058</c:v>
                </c:pt>
                <c:pt idx="451">
                  <c:v>9303.2830537266964</c:v>
                </c:pt>
                <c:pt idx="452">
                  <c:v>9124.8049332560659</c:v>
                </c:pt>
                <c:pt idx="453">
                  <c:v>8945.856306453481</c:v>
                </c:pt>
                <c:pt idx="454">
                  <c:v>8766.4369757165387</c:v>
                </c:pt>
                <c:pt idx="455">
                  <c:v>8586.5467437960215</c:v>
                </c:pt>
                <c:pt idx="456">
                  <c:v>8406.1854137939026</c:v>
                </c:pt>
                <c:pt idx="457">
                  <c:v>8225.3527891629474</c:v>
                </c:pt>
                <c:pt idx="458">
                  <c:v>8044.0486737042693</c:v>
                </c:pt>
                <c:pt idx="459">
                  <c:v>7862.272871566749</c:v>
                </c:pt>
                <c:pt idx="460">
                  <c:v>7680.0251872449835</c:v>
                </c:pt>
                <c:pt idx="461">
                  <c:v>7497.3054255786819</c:v>
                </c:pt>
                <c:pt idx="462">
                  <c:v>7314.1133917505704</c:v>
                </c:pt>
                <c:pt idx="463">
                  <c:v>7130.4488912855531</c:v>
                </c:pt>
                <c:pt idx="464">
                  <c:v>6946.3117300491422</c:v>
                </c:pt>
                <c:pt idx="465">
                  <c:v>6761.7017142462046</c:v>
                </c:pt>
                <c:pt idx="466">
                  <c:v>6576.6186504196194</c:v>
                </c:pt>
                <c:pt idx="467">
                  <c:v>6391.0623454489187</c:v>
                </c:pt>
                <c:pt idx="468">
                  <c:v>6205.0326065491217</c:v>
                </c:pt>
                <c:pt idx="469">
                  <c:v>6018.5292412693079</c:v>
                </c:pt>
                <c:pt idx="470">
                  <c:v>5831.5520574912571</c:v>
                </c:pt>
                <c:pt idx="471">
                  <c:v>5644.1008634283589</c:v>
                </c:pt>
                <c:pt idx="472">
                  <c:v>5456.1754676242554</c:v>
                </c:pt>
                <c:pt idx="473">
                  <c:v>5267.7756789514488</c:v>
                </c:pt>
                <c:pt idx="474">
                  <c:v>5078.9013066102907</c:v>
                </c:pt>
                <c:pt idx="475">
                  <c:v>4889.5521601276178</c:v>
                </c:pt>
                <c:pt idx="476">
                  <c:v>4699.7280493553362</c:v>
                </c:pt>
                <c:pt idx="477">
                  <c:v>4509.4287844693763</c:v>
                </c:pt>
                <c:pt idx="478">
                  <c:v>4318.6541759684669</c:v>
                </c:pt>
                <c:pt idx="479">
                  <c:v>4127.4040346728598</c:v>
                </c:pt>
                <c:pt idx="480">
                  <c:v>3935.6781717230201</c:v>
                </c:pt>
                <c:pt idx="481">
                  <c:v>3743.4763985786062</c:v>
                </c:pt>
                <c:pt idx="482">
                  <c:v>3550.7985270171275</c:v>
                </c:pt>
                <c:pt idx="483">
                  <c:v>3357.6443691328227</c:v>
                </c:pt>
                <c:pt idx="484">
                  <c:v>3164.01373733534</c:v>
                </c:pt>
                <c:pt idx="485">
                  <c:v>2969.9064443488051</c:v>
                </c:pt>
                <c:pt idx="486">
                  <c:v>2775.3223032105352</c:v>
                </c:pt>
                <c:pt idx="487">
                  <c:v>2580.2611272695003</c:v>
                </c:pt>
                <c:pt idx="488">
                  <c:v>2384.7227301858957</c:v>
                </c:pt>
                <c:pt idx="489">
                  <c:v>2188.7069259293612</c:v>
                </c:pt>
                <c:pt idx="490">
                  <c:v>1992.2135287781725</c:v>
                </c:pt>
                <c:pt idx="491">
                  <c:v>1795.2423533179096</c:v>
                </c:pt>
                <c:pt idx="492">
                  <c:v>1597.7932144403358</c:v>
                </c:pt>
                <c:pt idx="493">
                  <c:v>1399.8659273425287</c:v>
                </c:pt>
                <c:pt idx="494">
                  <c:v>1201.4603075253406</c:v>
                </c:pt>
                <c:pt idx="495">
                  <c:v>1002.5761707928253</c:v>
                </c:pt>
                <c:pt idx="496">
                  <c:v>803.21333325049886</c:v>
                </c:pt>
                <c:pt idx="497">
                  <c:v>603.37161130463437</c:v>
                </c:pt>
                <c:pt idx="498">
                  <c:v>403.05082166125533</c:v>
                </c:pt>
                <c:pt idx="499">
                  <c:v>202.25078132463847</c:v>
                </c:pt>
                <c:pt idx="500">
                  <c:v>0.97130759654948051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D685-4D15-A59D-604BFB09AF1D}"/>
            </c:ext>
          </c:extLst>
        </c:ser>
        <c:ser>
          <c:idx val="2"/>
          <c:order val="2"/>
          <c:tx>
            <c:v>Datensatz 2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Tabelle1!$F$23:$F$523</c:f>
              <c:numCache>
                <c:formatCode>General</c:formatCode>
                <c:ptCount val="5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</c:numCache>
            </c:numRef>
          </c:xVal>
          <c:yVal>
            <c:numRef>
              <c:f>Tabelle1!$G$23:$G$523</c:f>
              <c:numCache>
                <c:formatCode>0</c:formatCode>
                <c:ptCount val="501"/>
                <c:pt idx="0">
                  <c:v>36220.585380000004</c:v>
                </c:pt>
                <c:pt idx="1">
                  <c:v>36216.305722050405</c:v>
                </c:pt>
                <c:pt idx="2">
                  <c:v>36210.047626048661</c:v>
                </c:pt>
                <c:pt idx="3">
                  <c:v>36202.734209802686</c:v>
                </c:pt>
                <c:pt idx="4">
                  <c:v>36194.638386187209</c:v>
                </c:pt>
                <c:pt idx="5">
                  <c:v>36185.906100562002</c:v>
                </c:pt>
                <c:pt idx="6">
                  <c:v>36176.630643079807</c:v>
                </c:pt>
                <c:pt idx="7">
                  <c:v>36166.877685294603</c:v>
                </c:pt>
                <c:pt idx="8">
                  <c:v>36156.696387048563</c:v>
                </c:pt>
                <c:pt idx="9">
                  <c:v>36146.125158840543</c:v>
                </c:pt>
                <c:pt idx="10">
                  <c:v>36135.194977722167</c:v>
                </c:pt>
                <c:pt idx="11">
                  <c:v>36123.931442682508</c:v>
                </c:pt>
                <c:pt idx="12">
                  <c:v>36112.35612240131</c:v>
                </c:pt>
                <c:pt idx="13">
                  <c:v>36100.487478885872</c:v>
                </c:pt>
                <c:pt idx="14">
                  <c:v>36088.341523419629</c:v>
                </c:pt>
                <c:pt idx="15">
                  <c:v>36075.932296305153</c:v>
                </c:pt>
                <c:pt idx="16">
                  <c:v>36063.272226507208</c:v>
                </c:pt>
                <c:pt idx="17">
                  <c:v>36050.37240699523</c:v>
                </c:pt>
                <c:pt idx="18">
                  <c:v>36037.242809406212</c:v>
                </c:pt>
                <c:pt idx="19">
                  <c:v>36023.892454069784</c:v>
                </c:pt>
                <c:pt idx="20">
                  <c:v>36010.329546564732</c:v>
                </c:pt>
                <c:pt idx="21">
                  <c:v>35996.561588756944</c:v>
                </c:pt>
                <c:pt idx="22">
                  <c:v>35982.595470087545</c:v>
                </c:pt>
                <c:pt idx="23">
                  <c:v>35968.437543370579</c:v>
                </c:pt>
                <c:pt idx="24">
                  <c:v>35954.093688293797</c:v>
                </c:pt>
                <c:pt idx="25">
                  <c:v>35939.569365051284</c:v>
                </c:pt>
                <c:pt idx="26">
                  <c:v>35924.869659977769</c:v>
                </c:pt>
                <c:pt idx="27">
                  <c:v>35909.999324641685</c:v>
                </c:pt>
                <c:pt idx="28">
                  <c:v>35894.962809543773</c:v>
                </c:pt>
                <c:pt idx="29">
                  <c:v>35879.764293333137</c:v>
                </c:pt>
                <c:pt idx="30">
                  <c:v>35864.407708271923</c:v>
                </c:pt>
                <c:pt idx="31">
                  <c:v>35848.896762540295</c:v>
                </c:pt>
                <c:pt idx="32">
                  <c:v>35833.234959863359</c:v>
                </c:pt>
                <c:pt idx="33">
                  <c:v>35817.425616856075</c:v>
                </c:pt>
                <c:pt idx="34">
                  <c:v>35801.471878412689</c:v>
                </c:pt>
                <c:pt idx="35">
                  <c:v>35785.376731412667</c:v>
                </c:pt>
                <c:pt idx="36">
                  <c:v>35769.143016970331</c:v>
                </c:pt>
                <c:pt idx="37">
                  <c:v>35752.77344141926</c:v>
                </c:pt>
                <c:pt idx="38">
                  <c:v>35736.270586193095</c:v>
                </c:pt>
                <c:pt idx="39">
                  <c:v>35719.636916739713</c:v>
                </c:pt>
                <c:pt idx="40">
                  <c:v>35702.874790585971</c:v>
                </c:pt>
                <c:pt idx="41">
                  <c:v>35685.986464653157</c:v>
                </c:pt>
                <c:pt idx="42">
                  <c:v>35668.974101909516</c:v>
                </c:pt>
                <c:pt idx="43">
                  <c:v>35651.839777434237</c:v>
                </c:pt>
                <c:pt idx="44">
                  <c:v>35634.585483957642</c:v>
                </c:pt>
                <c:pt idx="45">
                  <c:v>35617.213136933613</c:v>
                </c:pt>
                <c:pt idx="46">
                  <c:v>35599.724579193353</c:v>
                </c:pt>
                <c:pt idx="47">
                  <c:v>35582.121585223489</c:v>
                </c:pt>
                <c:pt idx="48">
                  <c:v>35564.405865106142</c:v>
                </c:pt>
                <c:pt idx="49">
                  <c:v>35546.579068154126</c:v>
                </c:pt>
                <c:pt idx="50">
                  <c:v>35528.642786270866</c:v>
                </c:pt>
                <c:pt idx="51">
                  <c:v>35510.598557060664</c:v>
                </c:pt>
                <c:pt idx="52">
                  <c:v>35492.447866712726</c:v>
                </c:pt>
                <c:pt idx="53">
                  <c:v>35474.192152679156</c:v>
                </c:pt>
                <c:pt idx="54">
                  <c:v>35455.832806165548</c:v>
                </c:pt>
                <c:pt idx="55">
                  <c:v>35437.371174450338</c:v>
                </c:pt>
                <c:pt idx="56">
                  <c:v>35418.808563047613</c:v>
                </c:pt>
                <c:pt idx="57">
                  <c:v>35400.146237726629</c:v>
                </c:pt>
                <c:pt idx="58">
                  <c:v>35381.38542639988</c:v>
                </c:pt>
                <c:pt idx="59">
                  <c:v>35362.527320890338</c:v>
                </c:pt>
                <c:pt idx="60">
                  <c:v>35343.573078587557</c:v>
                </c:pt>
                <c:pt idx="61">
                  <c:v>35324.523824001393</c:v>
                </c:pt>
                <c:pt idx="62">
                  <c:v>35305.380650221166</c:v>
                </c:pt>
                <c:pt idx="63">
                  <c:v>35286.144620287603</c:v>
                </c:pt>
                <c:pt idx="64">
                  <c:v>35266.816768483935</c:v>
                </c:pt>
                <c:pt idx="65">
                  <c:v>35247.398101552128</c:v>
                </c:pt>
                <c:pt idx="66">
                  <c:v>35227.889599839793</c:v>
                </c:pt>
                <c:pt idx="67">
                  <c:v>35208.292218382594</c:v>
                </c:pt>
                <c:pt idx="68">
                  <c:v>35188.606887926711</c:v>
                </c:pt>
                <c:pt idx="69">
                  <c:v>35168.834515895578</c:v>
                </c:pt>
                <c:pt idx="70">
                  <c:v>35148.975987304628</c:v>
                </c:pt>
                <c:pt idx="71">
                  <c:v>35129.032165627599</c:v>
                </c:pt>
                <c:pt idx="72">
                  <c:v>35109.00389361757</c:v>
                </c:pt>
                <c:pt idx="73">
                  <c:v>35088.891994085716</c:v>
                </c:pt>
                <c:pt idx="74">
                  <c:v>35068.697270640521</c:v>
                </c:pt>
                <c:pt idx="75">
                  <c:v>35048.420508389892</c:v>
                </c:pt>
                <c:pt idx="76">
                  <c:v>35028.062474608661</c:v>
                </c:pt>
                <c:pt idx="77">
                  <c:v>35007.623919373393</c:v>
                </c:pt>
                <c:pt idx="78">
                  <c:v>34987.105576166752</c:v>
                </c:pt>
                <c:pt idx="79">
                  <c:v>34966.50816245305</c:v>
                </c:pt>
                <c:pt idx="80">
                  <c:v>34945.832380226828</c:v>
                </c:pt>
                <c:pt idx="81">
                  <c:v>34925.078916535982</c:v>
                </c:pt>
                <c:pt idx="82">
                  <c:v>34904.24844398097</c:v>
                </c:pt>
                <c:pt idx="83">
                  <c:v>34883.341621191474</c:v>
                </c:pt>
                <c:pt idx="84">
                  <c:v>34862.359093281695</c:v>
                </c:pt>
                <c:pt idx="85">
                  <c:v>34841.301492285631</c:v>
                </c:pt>
                <c:pt idx="86">
                  <c:v>34820.169437573335</c:v>
                </c:pt>
                <c:pt idx="87">
                  <c:v>34798.963536249248</c:v>
                </c:pt>
                <c:pt idx="88">
                  <c:v>34777.684383533495</c:v>
                </c:pt>
                <c:pt idx="89">
                  <c:v>34756.332563127275</c:v>
                </c:pt>
                <c:pt idx="90">
                  <c:v>34734.908647562843</c:v>
                </c:pt>
                <c:pt idx="91">
                  <c:v>34713.413198539194</c:v>
                </c:pt>
                <c:pt idx="92">
                  <c:v>34691.846767244082</c:v>
                </c:pt>
                <c:pt idx="93">
                  <c:v>34670.20989466297</c:v>
                </c:pt>
                <c:pt idx="94">
                  <c:v>34648.503111875805</c:v>
                </c:pt>
                <c:pt idx="95">
                  <c:v>34626.726940341949</c:v>
                </c:pt>
                <c:pt idx="96">
                  <c:v>34604.881892174082</c:v>
                </c:pt>
                <c:pt idx="97">
                  <c:v>34582.968470401524</c:v>
                </c:pt>
                <c:pt idx="98">
                  <c:v>34560.987169223474</c:v>
                </c:pt>
                <c:pt idx="99">
                  <c:v>34538.938474252674</c:v>
                </c:pt>
                <c:pt idx="100">
                  <c:v>34516.822862749956</c:v>
                </c:pt>
                <c:pt idx="101">
                  <c:v>34494.640803850118</c:v>
                </c:pt>
                <c:pt idx="102">
                  <c:v>34472.392758779468</c:v>
                </c:pt>
                <c:pt idx="103">
                  <c:v>34450.079181065492</c:v>
                </c:pt>
                <c:pt idx="104">
                  <c:v>34427.700516739009</c:v>
                </c:pt>
                <c:pt idx="105">
                  <c:v>34405.257204529044</c:v>
                </c:pt>
                <c:pt idx="106">
                  <c:v>34382.749676050902</c:v>
                </c:pt>
                <c:pt idx="107">
                  <c:v>34360.178355987613</c:v>
                </c:pt>
                <c:pt idx="108">
                  <c:v>34337.543662265132</c:v>
                </c:pt>
                <c:pt idx="109">
                  <c:v>34314.846006221516</c:v>
                </c:pt>
                <c:pt idx="110">
                  <c:v>34292.085792770311</c:v>
                </c:pt>
                <c:pt idx="111">
                  <c:v>34269.26342055852</c:v>
                </c:pt>
                <c:pt idx="112">
                  <c:v>34246.379282119189</c:v>
                </c:pt>
                <c:pt idx="113">
                  <c:v>34223.43376401905</c:v>
                </c:pt>
                <c:pt idx="114">
                  <c:v>34200.427247001266</c:v>
                </c:pt>
                <c:pt idx="115">
                  <c:v>34177.360106123546</c:v>
                </c:pt>
                <c:pt idx="116">
                  <c:v>34154.232710891782</c:v>
                </c:pt>
                <c:pt idx="117">
                  <c:v>34131.0454253895</c:v>
                </c:pt>
                <c:pt idx="118">
                  <c:v>34107.7986084031</c:v>
                </c:pt>
                <c:pt idx="119">
                  <c:v>34084.492613543291</c:v>
                </c:pt>
                <c:pt idx="120">
                  <c:v>34061.127789362596</c:v>
                </c:pt>
                <c:pt idx="121">
                  <c:v>34037.704479469394</c:v>
                </c:pt>
                <c:pt idx="122">
                  <c:v>34014.223022638304</c:v>
                </c:pt>
                <c:pt idx="123">
                  <c:v>33990.683752917357</c:v>
                </c:pt>
                <c:pt idx="124">
                  <c:v>33967.086999731873</c:v>
                </c:pt>
                <c:pt idx="125">
                  <c:v>33943.433087985213</c:v>
                </c:pt>
                <c:pt idx="126">
                  <c:v>33919.722338156607</c:v>
                </c:pt>
                <c:pt idx="127">
                  <c:v>33895.955066396054</c:v>
                </c:pt>
                <c:pt idx="128">
                  <c:v>33872.131584616502</c:v>
                </c:pt>
                <c:pt idx="129">
                  <c:v>33848.252200583287</c:v>
                </c:pt>
                <c:pt idx="130">
                  <c:v>33824.317218001095</c:v>
                </c:pt>
                <c:pt idx="131">
                  <c:v>33800.326936598372</c:v>
                </c:pt>
                <c:pt idx="132">
                  <c:v>33776.281652209364</c:v>
                </c:pt>
                <c:pt idx="133">
                  <c:v>33752.181656853914</c:v>
                </c:pt>
                <c:pt idx="134">
                  <c:v>33728.027238814931</c:v>
                </c:pt>
                <c:pt idx="135">
                  <c:v>33703.818682713798</c:v>
                </c:pt>
                <c:pt idx="136">
                  <c:v>33679.556269583714</c:v>
                </c:pt>
                <c:pt idx="137">
                  <c:v>33655.240276940945</c:v>
                </c:pt>
                <c:pt idx="138">
                  <c:v>33630.870978854291</c:v>
                </c:pt>
                <c:pt idx="139">
                  <c:v>33606.448646012555</c:v>
                </c:pt>
                <c:pt idx="140">
                  <c:v>33581.973545790301</c:v>
                </c:pt>
                <c:pt idx="141">
                  <c:v>33557.445942311817</c:v>
                </c:pt>
                <c:pt idx="142">
                  <c:v>33532.866096513455</c:v>
                </c:pt>
                <c:pt idx="143">
                  <c:v>33508.234266204301</c:v>
                </c:pt>
                <c:pt idx="144">
                  <c:v>33483.550706125257</c:v>
                </c:pt>
                <c:pt idx="145">
                  <c:v>33458.815668006682</c:v>
                </c:pt>
                <c:pt idx="146">
                  <c:v>33434.029400624473</c:v>
                </c:pt>
                <c:pt idx="147">
                  <c:v>33409.192149854767</c:v>
                </c:pt>
                <c:pt idx="148">
                  <c:v>33384.304158727267</c:v>
                </c:pt>
                <c:pt idx="149">
                  <c:v>33359.365667477221</c:v>
                </c:pt>
                <c:pt idx="150">
                  <c:v>33334.376913596105</c:v>
                </c:pt>
                <c:pt idx="151">
                  <c:v>33309.338131881079</c:v>
                </c:pt>
                <c:pt idx="152">
                  <c:v>33284.249554483191</c:v>
                </c:pt>
                <c:pt idx="153">
                  <c:v>33259.111410954451</c:v>
                </c:pt>
                <c:pt idx="154">
                  <c:v>33233.923928293712</c:v>
                </c:pt>
                <c:pt idx="155">
                  <c:v>33208.687330991525</c:v>
                </c:pt>
                <c:pt idx="156">
                  <c:v>33183.401841073821</c:v>
                </c:pt>
                <c:pt idx="157">
                  <c:v>33158.067678144653</c:v>
                </c:pt>
                <c:pt idx="158">
                  <c:v>33132.685059427873</c:v>
                </c:pt>
                <c:pt idx="159">
                  <c:v>33107.254199807838</c:v>
                </c:pt>
                <c:pt idx="160">
                  <c:v>33081.775311869169</c:v>
                </c:pt>
                <c:pt idx="161">
                  <c:v>33056.248605935638</c:v>
                </c:pt>
                <c:pt idx="162">
                  <c:v>33030.67429010808</c:v>
                </c:pt>
                <c:pt idx="163">
                  <c:v>33005.052570301465</c:v>
                </c:pt>
                <c:pt idx="164">
                  <c:v>32979.383650281205</c:v>
                </c:pt>
                <c:pt idx="165">
                  <c:v>32953.667731698515</c:v>
                </c:pt>
                <c:pt idx="166">
                  <c:v>32927.905014125041</c:v>
                </c:pt>
                <c:pt idx="167">
                  <c:v>32902.095695086777</c:v>
                </c:pt>
                <c:pt idx="168">
                  <c:v>32876.239970097093</c:v>
                </c:pt>
                <c:pt idx="169">
                  <c:v>32850.338032689157</c:v>
                </c:pt>
                <c:pt idx="170">
                  <c:v>32824.390074447598</c:v>
                </c:pt>
                <c:pt idx="171">
                  <c:v>32798.396285039453</c:v>
                </c:pt>
                <c:pt idx="172">
                  <c:v>32772.356852244513</c:v>
                </c:pt>
                <c:pt idx="173">
                  <c:v>32746.271961984941</c:v>
                </c:pt>
                <c:pt idx="174">
                  <c:v>32720.141798354307</c:v>
                </c:pt>
                <c:pt idx="175">
                  <c:v>32693.966543645965</c:v>
                </c:pt>
                <c:pt idx="176">
                  <c:v>32667.7463783809</c:v>
                </c:pt>
                <c:pt idx="177">
                  <c:v>32641.481481334889</c:v>
                </c:pt>
                <c:pt idx="178">
                  <c:v>32615.172029565168</c:v>
                </c:pt>
                <c:pt idx="179">
                  <c:v>32588.818198436551</c:v>
                </c:pt>
                <c:pt idx="180">
                  <c:v>32562.420161646911</c:v>
                </c:pt>
                <c:pt idx="181">
                  <c:v>32535.978091252273</c:v>
                </c:pt>
                <c:pt idx="182">
                  <c:v>32509.492157691308</c:v>
                </c:pt>
                <c:pt idx="183">
                  <c:v>32482.962529809301</c:v>
                </c:pt>
                <c:pt idx="184">
                  <c:v>32456.389374881765</c:v>
                </c:pt>
                <c:pt idx="185">
                  <c:v>32429.772858637418</c:v>
                </c:pt>
                <c:pt idx="186">
                  <c:v>32403.113145280804</c:v>
                </c:pt>
                <c:pt idx="187">
                  <c:v>32376.410397514454</c:v>
                </c:pt>
                <c:pt idx="188">
                  <c:v>32349.664776560585</c:v>
                </c:pt>
                <c:pt idx="189">
                  <c:v>32322.876442182329</c:v>
                </c:pt>
                <c:pt idx="190">
                  <c:v>32296.045552704676</c:v>
                </c:pt>
                <c:pt idx="191">
                  <c:v>32269.172265034853</c:v>
                </c:pt>
                <c:pt idx="192">
                  <c:v>32242.256734682433</c:v>
                </c:pt>
                <c:pt idx="193">
                  <c:v>32215.299115778973</c:v>
                </c:pt>
                <c:pt idx="194">
                  <c:v>32188.299561097323</c:v>
                </c:pt>
                <c:pt idx="195">
                  <c:v>32161.258222070559</c:v>
                </c:pt>
                <c:pt idx="196">
                  <c:v>32134.175248810512</c:v>
                </c:pt>
                <c:pt idx="197">
                  <c:v>32107.050790126032</c:v>
                </c:pt>
                <c:pt idx="198">
                  <c:v>32079.884993540822</c:v>
                </c:pt>
                <c:pt idx="199">
                  <c:v>32052.678005310987</c:v>
                </c:pt>
                <c:pt idx="200">
                  <c:v>32025.429970442266</c:v>
                </c:pt>
                <c:pt idx="201">
                  <c:v>31998.141032706906</c:v>
                </c:pt>
                <c:pt idx="202">
                  <c:v>31970.811334660219</c:v>
                </c:pt>
                <c:pt idx="203">
                  <c:v>31943.441017656918</c:v>
                </c:pt>
                <c:pt idx="204">
                  <c:v>31916.030221867055</c:v>
                </c:pt>
                <c:pt idx="205">
                  <c:v>31888.579086291724</c:v>
                </c:pt>
                <c:pt idx="206">
                  <c:v>31861.087748778471</c:v>
                </c:pt>
                <c:pt idx="207">
                  <c:v>31833.556346036421</c:v>
                </c:pt>
                <c:pt idx="208">
                  <c:v>31805.985013651127</c:v>
                </c:pt>
                <c:pt idx="209">
                  <c:v>31778.373886099202</c:v>
                </c:pt>
                <c:pt idx="210">
                  <c:v>31750.723096762616</c:v>
                </c:pt>
                <c:pt idx="211">
                  <c:v>31723.032777942801</c:v>
                </c:pt>
                <c:pt idx="212">
                  <c:v>31695.303060874485</c:v>
                </c:pt>
                <c:pt idx="213">
                  <c:v>31667.534075739259</c:v>
                </c:pt>
                <c:pt idx="214">
                  <c:v>31639.725951679007</c:v>
                </c:pt>
                <c:pt idx="215">
                  <c:v>31611.878816808952</c:v>
                </c:pt>
                <c:pt idx="216">
                  <c:v>31583.992798230607</c:v>
                </c:pt>
                <c:pt idx="217">
                  <c:v>31556.068022044448</c:v>
                </c:pt>
                <c:pt idx="218">
                  <c:v>31528.10461336236</c:v>
                </c:pt>
                <c:pt idx="219">
                  <c:v>31500.102696319907</c:v>
                </c:pt>
                <c:pt idx="220">
                  <c:v>31472.062394088385</c:v>
                </c:pt>
                <c:pt idx="221">
                  <c:v>31443.983828886641</c:v>
                </c:pt>
                <c:pt idx="222">
                  <c:v>31415.867121992716</c:v>
                </c:pt>
                <c:pt idx="223">
                  <c:v>31387.712393755333</c:v>
                </c:pt>
                <c:pt idx="224">
                  <c:v>31359.519763605123</c:v>
                </c:pt>
                <c:pt idx="225">
                  <c:v>31331.289350065697</c:v>
                </c:pt>
                <c:pt idx="226">
                  <c:v>31303.021270764548</c:v>
                </c:pt>
                <c:pt idx="227">
                  <c:v>31274.715642443782</c:v>
                </c:pt>
                <c:pt idx="228">
                  <c:v>31246.372580970623</c:v>
                </c:pt>
                <c:pt idx="229">
                  <c:v>31217.992201347788</c:v>
                </c:pt>
                <c:pt idx="230">
                  <c:v>31189.57461772372</c:v>
                </c:pt>
                <c:pt idx="231">
                  <c:v>31161.119943402573</c:v>
                </c:pt>
                <c:pt idx="232">
                  <c:v>31132.628290854114</c:v>
                </c:pt>
                <c:pt idx="233">
                  <c:v>31104.099771723453</c:v>
                </c:pt>
                <c:pt idx="234">
                  <c:v>31075.53449684057</c:v>
                </c:pt>
                <c:pt idx="235">
                  <c:v>31046.932576229752</c:v>
                </c:pt>
                <c:pt idx="236">
                  <c:v>31018.294119118862</c:v>
                </c:pt>
                <c:pt idx="237">
                  <c:v>30989.619233948441</c:v>
                </c:pt>
                <c:pt idx="238">
                  <c:v>30960.908028380662</c:v>
                </c:pt>
                <c:pt idx="239">
                  <c:v>30932.160609308219</c:v>
                </c:pt>
                <c:pt idx="240">
                  <c:v>30903.377082862982</c:v>
                </c:pt>
                <c:pt idx="241">
                  <c:v>30874.557554424584</c:v>
                </c:pt>
                <c:pt idx="242">
                  <c:v>30845.70212862884</c:v>
                </c:pt>
                <c:pt idx="243">
                  <c:v>30816.810909376072</c:v>
                </c:pt>
                <c:pt idx="244">
                  <c:v>30787.883999839247</c:v>
                </c:pt>
                <c:pt idx="245">
                  <c:v>30758.921502472076</c:v>
                </c:pt>
                <c:pt idx="246">
                  <c:v>30729.923519016938</c:v>
                </c:pt>
                <c:pt idx="247">
                  <c:v>30700.890150512623</c:v>
                </c:pt>
                <c:pt idx="248">
                  <c:v>30671.82149730215</c:v>
                </c:pt>
                <c:pt idx="249">
                  <c:v>30642.717659040245</c:v>
                </c:pt>
                <c:pt idx="250">
                  <c:v>30613.578734700837</c:v>
                </c:pt>
                <c:pt idx="251">
                  <c:v>30584.404822584456</c:v>
                </c:pt>
                <c:pt idx="252">
                  <c:v>30555.19602032542</c:v>
                </c:pt>
                <c:pt idx="253">
                  <c:v>30525.952424899013</c:v>
                </c:pt>
                <c:pt idx="254">
                  <c:v>30496.674132628523</c:v>
                </c:pt>
                <c:pt idx="255">
                  <c:v>30467.361239192149</c:v>
                </c:pt>
                <c:pt idx="256">
                  <c:v>30438.013839629875</c:v>
                </c:pt>
                <c:pt idx="257">
                  <c:v>30408.632028350163</c:v>
                </c:pt>
                <c:pt idx="258">
                  <c:v>30379.21589913666</c:v>
                </c:pt>
                <c:pt idx="259">
                  <c:v>30349.765545154627</c:v>
                </c:pt>
                <c:pt idx="260">
                  <c:v>30320.281058957517</c:v>
                </c:pt>
                <c:pt idx="261">
                  <c:v>30290.762532493216</c:v>
                </c:pt>
                <c:pt idx="262">
                  <c:v>30261.210057110431</c:v>
                </c:pt>
                <c:pt idx="263">
                  <c:v>30231.62372356475</c:v>
                </c:pt>
                <c:pt idx="264">
                  <c:v>30202.003622024815</c:v>
                </c:pt>
                <c:pt idx="265">
                  <c:v>30172.349842078282</c:v>
                </c:pt>
                <c:pt idx="266">
                  <c:v>30142.662472737804</c:v>
                </c:pt>
                <c:pt idx="267">
                  <c:v>30112.941602446786</c:v>
                </c:pt>
                <c:pt idx="268">
                  <c:v>30083.187319085217</c:v>
                </c:pt>
                <c:pt idx="269">
                  <c:v>30053.399709975307</c:v>
                </c:pt>
                <c:pt idx="270">
                  <c:v>30023.578861887112</c:v>
                </c:pt>
                <c:pt idx="271">
                  <c:v>29993.724861044058</c:v>
                </c:pt>
                <c:pt idx="272">
                  <c:v>29963.837793128365</c:v>
                </c:pt>
                <c:pt idx="273">
                  <c:v>29933.917743286449</c:v>
                </c:pt>
                <c:pt idx="274">
                  <c:v>29903.964796134213</c:v>
                </c:pt>
                <c:pt idx="275">
                  <c:v>29873.979035762288</c:v>
                </c:pt>
                <c:pt idx="276">
                  <c:v>29843.960545741178</c:v>
                </c:pt>
                <c:pt idx="277">
                  <c:v>29813.909409126336</c:v>
                </c:pt>
                <c:pt idx="278">
                  <c:v>29783.825708463264</c:v>
                </c:pt>
                <c:pt idx="279">
                  <c:v>29753.709525792357</c:v>
                </c:pt>
                <c:pt idx="280">
                  <c:v>29723.560942653883</c:v>
                </c:pt>
                <c:pt idx="281">
                  <c:v>29693.380040092758</c:v>
                </c:pt>
                <c:pt idx="282">
                  <c:v>29663.166898663334</c:v>
                </c:pt>
                <c:pt idx="283">
                  <c:v>29632.921598434092</c:v>
                </c:pt>
                <c:pt idx="284">
                  <c:v>29602.644218992275</c:v>
                </c:pt>
                <c:pt idx="285">
                  <c:v>29572.334839448467</c:v>
                </c:pt>
                <c:pt idx="286">
                  <c:v>29541.993538441118</c:v>
                </c:pt>
                <c:pt idx="287">
                  <c:v>29511.620394140984</c:v>
                </c:pt>
                <c:pt idx="288">
                  <c:v>29481.215484255568</c:v>
                </c:pt>
                <c:pt idx="289">
                  <c:v>29450.778886033419</c:v>
                </c:pt>
                <c:pt idx="290">
                  <c:v>29420.310676268458</c:v>
                </c:pt>
                <c:pt idx="291">
                  <c:v>29389.810931304182</c:v>
                </c:pt>
                <c:pt idx="292">
                  <c:v>29359.279727037894</c:v>
                </c:pt>
                <c:pt idx="293">
                  <c:v>29328.717138924756</c:v>
                </c:pt>
                <c:pt idx="294">
                  <c:v>29298.123241981953</c:v>
                </c:pt>
                <c:pt idx="295">
                  <c:v>29267.498110792632</c:v>
                </c:pt>
                <c:pt idx="296">
                  <c:v>29236.841819509955</c:v>
                </c:pt>
                <c:pt idx="297">
                  <c:v>29206.154441860952</c:v>
                </c:pt>
                <c:pt idx="298">
                  <c:v>29175.436051150456</c:v>
                </c:pt>
                <c:pt idx="299">
                  <c:v>29144.686720264897</c:v>
                </c:pt>
                <c:pt idx="300">
                  <c:v>29113.906521676086</c:v>
                </c:pt>
                <c:pt idx="301">
                  <c:v>29083.095527444959</c:v>
                </c:pt>
                <c:pt idx="302">
                  <c:v>29052.253809225251</c:v>
                </c:pt>
                <c:pt idx="303">
                  <c:v>29021.381438267155</c:v>
                </c:pt>
                <c:pt idx="304">
                  <c:v>28990.478485420888</c:v>
                </c:pt>
                <c:pt idx="305">
                  <c:v>28959.545021140304</c:v>
                </c:pt>
                <c:pt idx="306">
                  <c:v>28928.58111548634</c:v>
                </c:pt>
                <c:pt idx="307">
                  <c:v>28897.586838130523</c:v>
                </c:pt>
                <c:pt idx="308">
                  <c:v>28866.562258358372</c:v>
                </c:pt>
                <c:pt idx="309">
                  <c:v>28835.507445072813</c:v>
                </c:pt>
                <c:pt idx="310">
                  <c:v>28804.42246679751</c:v>
                </c:pt>
                <c:pt idx="311">
                  <c:v>28773.307391680173</c:v>
                </c:pt>
                <c:pt idx="312">
                  <c:v>28742.162287495776</c:v>
                </c:pt>
                <c:pt idx="313">
                  <c:v>28710.987221649895</c:v>
                </c:pt>
                <c:pt idx="314">
                  <c:v>28679.782261181757</c:v>
                </c:pt>
                <c:pt idx="315">
                  <c:v>28648.547472767514</c:v>
                </c:pt>
                <c:pt idx="316">
                  <c:v>28617.282922723294</c:v>
                </c:pt>
                <c:pt idx="317">
                  <c:v>28585.988677008278</c:v>
                </c:pt>
                <c:pt idx="318">
                  <c:v>28554.664801227755</c:v>
                </c:pt>
                <c:pt idx="319">
                  <c:v>28523.311360636126</c:v>
                </c:pt>
                <c:pt idx="320">
                  <c:v>28491.928420139902</c:v>
                </c:pt>
                <c:pt idx="321">
                  <c:v>28460.51604430057</c:v>
                </c:pt>
                <c:pt idx="322">
                  <c:v>28429.074297337564</c:v>
                </c:pt>
                <c:pt idx="323">
                  <c:v>28397.603243131136</c:v>
                </c:pt>
                <c:pt idx="324">
                  <c:v>28366.102945225124</c:v>
                </c:pt>
                <c:pt idx="325">
                  <c:v>28334.573466829825</c:v>
                </c:pt>
                <c:pt idx="326">
                  <c:v>28303.014870824732</c:v>
                </c:pt>
                <c:pt idx="327">
                  <c:v>28271.427219761306</c:v>
                </c:pt>
                <c:pt idx="328">
                  <c:v>28239.810575865646</c:v>
                </c:pt>
                <c:pt idx="329">
                  <c:v>28208.165001041209</c:v>
                </c:pt>
                <c:pt idx="330">
                  <c:v>28176.490556871417</c:v>
                </c:pt>
                <c:pt idx="331">
                  <c:v>28144.787304622303</c:v>
                </c:pt>
                <c:pt idx="332">
                  <c:v>28113.055305245111</c:v>
                </c:pt>
                <c:pt idx="333">
                  <c:v>28081.294619378805</c:v>
                </c:pt>
                <c:pt idx="334">
                  <c:v>28049.505307352694</c:v>
                </c:pt>
                <c:pt idx="335">
                  <c:v>28017.687429188856</c:v>
                </c:pt>
                <c:pt idx="336">
                  <c:v>27985.841044604633</c:v>
                </c:pt>
                <c:pt idx="337">
                  <c:v>27953.966213015094</c:v>
                </c:pt>
                <c:pt idx="338">
                  <c:v>27922.062993535455</c:v>
                </c:pt>
                <c:pt idx="339">
                  <c:v>27890.131444983486</c:v>
                </c:pt>
                <c:pt idx="340">
                  <c:v>27858.171625881841</c:v>
                </c:pt>
                <c:pt idx="341">
                  <c:v>27826.183594460468</c:v>
                </c:pt>
                <c:pt idx="342">
                  <c:v>27794.167408658857</c:v>
                </c:pt>
                <c:pt idx="343">
                  <c:v>27762.123126128372</c:v>
                </c:pt>
                <c:pt idx="344">
                  <c:v>27730.050804234535</c:v>
                </c:pt>
                <c:pt idx="345">
                  <c:v>27697.950500059233</c:v>
                </c:pt>
                <c:pt idx="346">
                  <c:v>27665.822270402958</c:v>
                </c:pt>
                <c:pt idx="347">
                  <c:v>27633.666171787005</c:v>
                </c:pt>
                <c:pt idx="348">
                  <c:v>27601.482260455661</c:v>
                </c:pt>
                <c:pt idx="349">
                  <c:v>27569.270592378292</c:v>
                </c:pt>
                <c:pt idx="350">
                  <c:v>27537.031223251561</c:v>
                </c:pt>
                <c:pt idx="351">
                  <c:v>27504.764208501463</c:v>
                </c:pt>
                <c:pt idx="352">
                  <c:v>27472.469603285426</c:v>
                </c:pt>
                <c:pt idx="353">
                  <c:v>27440.147462494398</c:v>
                </c:pt>
                <c:pt idx="354">
                  <c:v>27407.797840754869</c:v>
                </c:pt>
                <c:pt idx="355">
                  <c:v>27375.420792430858</c:v>
                </c:pt>
                <c:pt idx="356">
                  <c:v>27343.016371625967</c:v>
                </c:pt>
                <c:pt idx="357">
                  <c:v>27310.58463218531</c:v>
                </c:pt>
                <c:pt idx="358">
                  <c:v>27278.125627697482</c:v>
                </c:pt>
                <c:pt idx="359">
                  <c:v>27245.639411496533</c:v>
                </c:pt>
                <c:pt idx="360">
                  <c:v>27213.126036663809</c:v>
                </c:pt>
                <c:pt idx="361">
                  <c:v>27180.585556029917</c:v>
                </c:pt>
                <c:pt idx="362">
                  <c:v>27148.018022176548</c:v>
                </c:pt>
                <c:pt idx="363">
                  <c:v>27115.423487438409</c:v>
                </c:pt>
                <c:pt idx="364">
                  <c:v>27082.80200390493</c:v>
                </c:pt>
                <c:pt idx="365">
                  <c:v>27050.153623422226</c:v>
                </c:pt>
                <c:pt idx="366">
                  <c:v>27017.478397594838</c:v>
                </c:pt>
                <c:pt idx="367">
                  <c:v>26984.776377787479</c:v>
                </c:pt>
                <c:pt idx="368">
                  <c:v>26952.047615126859</c:v>
                </c:pt>
                <c:pt idx="369">
                  <c:v>26919.29216050341</c:v>
                </c:pt>
                <c:pt idx="370">
                  <c:v>26886.510064572987</c:v>
                </c:pt>
                <c:pt idx="371">
                  <c:v>26853.701377758636</c:v>
                </c:pt>
                <c:pt idx="372">
                  <c:v>26820.866150252248</c:v>
                </c:pt>
                <c:pt idx="373">
                  <c:v>26788.004432016241</c:v>
                </c:pt>
                <c:pt idx="374">
                  <c:v>26755.116272785261</c:v>
                </c:pt>
                <c:pt idx="375">
                  <c:v>26722.201722067752</c:v>
                </c:pt>
                <c:pt idx="376">
                  <c:v>26689.26082914765</c:v>
                </c:pt>
                <c:pt idx="377">
                  <c:v>26656.293643085981</c:v>
                </c:pt>
                <c:pt idx="378">
                  <c:v>26623.30021272245</c:v>
                </c:pt>
                <c:pt idx="379">
                  <c:v>26590.28058667701</c:v>
                </c:pt>
                <c:pt idx="380">
                  <c:v>26557.234813351472</c:v>
                </c:pt>
                <c:pt idx="381">
                  <c:v>26524.162940930983</c:v>
                </c:pt>
                <c:pt idx="382">
                  <c:v>26491.065017385645</c:v>
                </c:pt>
                <c:pt idx="383">
                  <c:v>26457.941090471984</c:v>
                </c:pt>
                <c:pt idx="384">
                  <c:v>26424.791207734444</c:v>
                </c:pt>
                <c:pt idx="385">
                  <c:v>26391.615416506946</c:v>
                </c:pt>
                <c:pt idx="386">
                  <c:v>26358.413763914294</c:v>
                </c:pt>
                <c:pt idx="387">
                  <c:v>26325.186296873668</c:v>
                </c:pt>
                <c:pt idx="388">
                  <c:v>26291.933062096072</c:v>
                </c:pt>
                <c:pt idx="389">
                  <c:v>26258.654106087783</c:v>
                </c:pt>
                <c:pt idx="390">
                  <c:v>26225.349475151732</c:v>
                </c:pt>
                <c:pt idx="391">
                  <c:v>26192.019215388958</c:v>
                </c:pt>
                <c:pt idx="392">
                  <c:v>26158.66337269999</c:v>
                </c:pt>
                <c:pt idx="393">
                  <c:v>26125.281992786182</c:v>
                </c:pt>
                <c:pt idx="394">
                  <c:v>26091.875121151166</c:v>
                </c:pt>
                <c:pt idx="395">
                  <c:v>26058.44280310216</c:v>
                </c:pt>
                <c:pt idx="396">
                  <c:v>26024.985083751275</c:v>
                </c:pt>
                <c:pt idx="397">
                  <c:v>25991.50200801692</c:v>
                </c:pt>
                <c:pt idx="398">
                  <c:v>25957.993620625082</c:v>
                </c:pt>
                <c:pt idx="399">
                  <c:v>25924.459966110622</c:v>
                </c:pt>
                <c:pt idx="400">
                  <c:v>25890.90108881858</c:v>
                </c:pt>
                <c:pt idx="401">
                  <c:v>25857.317032905481</c:v>
                </c:pt>
                <c:pt idx="402">
                  <c:v>25823.707842340558</c:v>
                </c:pt>
                <c:pt idx="403">
                  <c:v>25790.07356090704</c:v>
                </c:pt>
                <c:pt idx="404">
                  <c:v>25756.414232203402</c:v>
                </c:pt>
                <c:pt idx="405">
                  <c:v>25722.729899644586</c:v>
                </c:pt>
                <c:pt idx="406">
                  <c:v>25689.020606463218</c:v>
                </c:pt>
                <c:pt idx="407">
                  <c:v>25655.28639571086</c:v>
                </c:pt>
                <c:pt idx="408">
                  <c:v>25621.527310259167</c:v>
                </c:pt>
                <c:pt idx="409">
                  <c:v>25587.743392801083</c:v>
                </c:pt>
                <c:pt idx="410">
                  <c:v>25553.934685852066</c:v>
                </c:pt>
                <c:pt idx="411">
                  <c:v>25520.101231751225</c:v>
                </c:pt>
                <c:pt idx="412">
                  <c:v>25486.243072662426</c:v>
                </c:pt>
                <c:pt idx="413">
                  <c:v>25452.360250575548</c:v>
                </c:pt>
                <c:pt idx="414">
                  <c:v>25418.452807307574</c:v>
                </c:pt>
                <c:pt idx="415">
                  <c:v>25384.520784503649</c:v>
                </c:pt>
                <c:pt idx="416">
                  <c:v>25350.564223638321</c:v>
                </c:pt>
                <c:pt idx="417">
                  <c:v>25316.583166016564</c:v>
                </c:pt>
                <c:pt idx="418">
                  <c:v>25282.577652774915</c:v>
                </c:pt>
                <c:pt idx="419">
                  <c:v>25248.54772488253</c:v>
                </c:pt>
                <c:pt idx="420">
                  <c:v>25214.493423142285</c:v>
                </c:pt>
                <c:pt idx="421">
                  <c:v>25180.414788191865</c:v>
                </c:pt>
                <c:pt idx="422">
                  <c:v>25146.311860504775</c:v>
                </c:pt>
                <c:pt idx="423">
                  <c:v>25112.184680391434</c:v>
                </c:pt>
                <c:pt idx="424">
                  <c:v>25078.033288000177</c:v>
                </c:pt>
                <c:pt idx="425">
                  <c:v>25043.85772331832</c:v>
                </c:pt>
                <c:pt idx="426">
                  <c:v>25009.658026173198</c:v>
                </c:pt>
                <c:pt idx="427">
                  <c:v>24975.434236233134</c:v>
                </c:pt>
                <c:pt idx="428">
                  <c:v>24941.186393008447</c:v>
                </c:pt>
                <c:pt idx="429">
                  <c:v>24906.914535852473</c:v>
                </c:pt>
                <c:pt idx="430">
                  <c:v>24872.618703962577</c:v>
                </c:pt>
                <c:pt idx="431">
                  <c:v>24838.298936381088</c:v>
                </c:pt>
                <c:pt idx="432">
                  <c:v>24803.955271996256</c:v>
                </c:pt>
                <c:pt idx="433">
                  <c:v>24769.587749543301</c:v>
                </c:pt>
                <c:pt idx="434">
                  <c:v>24735.19640760525</c:v>
                </c:pt>
                <c:pt idx="435">
                  <c:v>24700.781284614004</c:v>
                </c:pt>
                <c:pt idx="436">
                  <c:v>24666.342418851182</c:v>
                </c:pt>
                <c:pt idx="437">
                  <c:v>24631.879848449098</c:v>
                </c:pt>
                <c:pt idx="438">
                  <c:v>24597.393611391668</c:v>
                </c:pt>
                <c:pt idx="439">
                  <c:v>24562.883745515337</c:v>
                </c:pt>
                <c:pt idx="440">
                  <c:v>24528.350288509984</c:v>
                </c:pt>
                <c:pt idx="441">
                  <c:v>24493.793277919805</c:v>
                </c:pt>
                <c:pt idx="442">
                  <c:v>24459.212751144238</c:v>
                </c:pt>
                <c:pt idx="443">
                  <c:v>24424.608745438796</c:v>
                </c:pt>
                <c:pt idx="444">
                  <c:v>24389.98129791602</c:v>
                </c:pt>
                <c:pt idx="445">
                  <c:v>24355.330445546268</c:v>
                </c:pt>
                <c:pt idx="446">
                  <c:v>24320.656225158622</c:v>
                </c:pt>
                <c:pt idx="447">
                  <c:v>24285.958673441761</c:v>
                </c:pt>
                <c:pt idx="448">
                  <c:v>24251.237826944773</c:v>
                </c:pt>
                <c:pt idx="449">
                  <c:v>24216.493722077958</c:v>
                </c:pt>
                <c:pt idx="450">
                  <c:v>24181.72639511379</c:v>
                </c:pt>
                <c:pt idx="451">
                  <c:v>24146.935882187634</c:v>
                </c:pt>
                <c:pt idx="452">
                  <c:v>24112.122219298602</c:v>
                </c:pt>
                <c:pt idx="453">
                  <c:v>24077.285442310364</c:v>
                </c:pt>
                <c:pt idx="454">
                  <c:v>24042.42558695194</c:v>
                </c:pt>
                <c:pt idx="455">
                  <c:v>24007.542688818576</c:v>
                </c:pt>
                <c:pt idx="456">
                  <c:v>23972.636783372393</c:v>
                </c:pt>
                <c:pt idx="457">
                  <c:v>23937.707905943345</c:v>
                </c:pt>
                <c:pt idx="458">
                  <c:v>23902.756091729876</c:v>
                </c:pt>
                <c:pt idx="459">
                  <c:v>23867.781375799761</c:v>
                </c:pt>
                <c:pt idx="460">
                  <c:v>23832.78379309081</c:v>
                </c:pt>
                <c:pt idx="461">
                  <c:v>23797.76337841171</c:v>
                </c:pt>
                <c:pt idx="462">
                  <c:v>23762.720166442745</c:v>
                </c:pt>
                <c:pt idx="463">
                  <c:v>23727.65419173651</c:v>
                </c:pt>
                <c:pt idx="464">
                  <c:v>23692.565488718756</c:v>
                </c:pt>
                <c:pt idx="465">
                  <c:v>23657.454091688985</c:v>
                </c:pt>
                <c:pt idx="466">
                  <c:v>23622.320034821314</c:v>
                </c:pt>
                <c:pt idx="467">
                  <c:v>23587.163352165135</c:v>
                </c:pt>
                <c:pt idx="468">
                  <c:v>23551.984077645862</c:v>
                </c:pt>
                <c:pt idx="469">
                  <c:v>23516.782245065628</c:v>
                </c:pt>
                <c:pt idx="470">
                  <c:v>23481.557888103991</c:v>
                </c:pt>
                <c:pt idx="471">
                  <c:v>23446.311040318673</c:v>
                </c:pt>
                <c:pt idx="472">
                  <c:v>23411.04173514622</c:v>
                </c:pt>
                <c:pt idx="473">
                  <c:v>23375.750005902726</c:v>
                </c:pt>
                <c:pt idx="474">
                  <c:v>23340.43588578446</c:v>
                </c:pt>
                <c:pt idx="475">
                  <c:v>23305.099407868671</c:v>
                </c:pt>
                <c:pt idx="476">
                  <c:v>23269.740605114108</c:v>
                </c:pt>
                <c:pt idx="477">
                  <c:v>23234.359510361868</c:v>
                </c:pt>
                <c:pt idx="478">
                  <c:v>23198.956156335858</c:v>
                </c:pt>
                <c:pt idx="479">
                  <c:v>23163.530575643661</c:v>
                </c:pt>
                <c:pt idx="480">
                  <c:v>23128.082800777043</c:v>
                </c:pt>
                <c:pt idx="481">
                  <c:v>23092.612864112642</c:v>
                </c:pt>
                <c:pt idx="482">
                  <c:v>23057.12079791271</c:v>
                </c:pt>
                <c:pt idx="483">
                  <c:v>23021.606634325573</c:v>
                </c:pt>
                <c:pt idx="484">
                  <c:v>22986.070405386468</c:v>
                </c:pt>
                <c:pt idx="485">
                  <c:v>22950.512143018015</c:v>
                </c:pt>
                <c:pt idx="486">
                  <c:v>22914.93187903093</c:v>
                </c:pt>
                <c:pt idx="487">
                  <c:v>22879.329645124602</c:v>
                </c:pt>
                <c:pt idx="488">
                  <c:v>22843.705472887727</c:v>
                </c:pt>
                <c:pt idx="489">
                  <c:v>22808.059393798994</c:v>
                </c:pt>
                <c:pt idx="490">
                  <c:v>22772.391439227536</c:v>
                </c:pt>
                <c:pt idx="491">
                  <c:v>22736.701640433661</c:v>
                </c:pt>
                <c:pt idx="492">
                  <c:v>22700.990028569398</c:v>
                </c:pt>
                <c:pt idx="493">
                  <c:v>22665.256634679099</c:v>
                </c:pt>
                <c:pt idx="494">
                  <c:v>22629.501489700055</c:v>
                </c:pt>
                <c:pt idx="495">
                  <c:v>22593.724624463077</c:v>
                </c:pt>
                <c:pt idx="496">
                  <c:v>22557.926069692978</c:v>
                </c:pt>
                <c:pt idx="497">
                  <c:v>22522.105856009326</c:v>
                </c:pt>
                <c:pt idx="498">
                  <c:v>22486.264013926888</c:v>
                </c:pt>
                <c:pt idx="499">
                  <c:v>22450.400573856201</c:v>
                </c:pt>
                <c:pt idx="500">
                  <c:v>22414.515566104237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D685-4D15-A59D-604BFB09AF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55079664"/>
        <c:axId val="1131981040"/>
      </c:scatterChart>
      <c:valAx>
        <c:axId val="655079664"/>
        <c:scaling>
          <c:orientation val="minMax"/>
          <c:max val="2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31981040"/>
        <c:crosses val="autoZero"/>
        <c:crossBetween val="midCat"/>
        <c:majorUnit val="5"/>
      </c:valAx>
      <c:valAx>
        <c:axId val="1131981040"/>
        <c:scaling>
          <c:orientation val="minMax"/>
          <c:max val="4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>
                    <a:latin typeface="Calibri" panose="020F0502020204030204" pitchFamily="34" charset="0"/>
                    <a:cs typeface="Calibri" panose="020F0502020204030204" pitchFamily="34" charset="0"/>
                  </a:rPr>
                  <a:t>Δp in Pa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55079664"/>
        <c:crosses val="autoZero"/>
        <c:crossBetween val="midCat"/>
        <c:majorUnit val="100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v>29 L/H</c:v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Lit>
              <c:ptCount val="5"/>
              <c:pt idx="0">
                <c:v>Radiator</c:v>
              </c:pt>
              <c:pt idx="1">
                <c:v>Kühler</c:v>
              </c:pt>
              <c:pt idx="2">
                <c:v>Fittinge</c:v>
              </c:pt>
              <c:pt idx="3">
                <c:v>Schlauch</c:v>
              </c:pt>
              <c:pt idx="4">
                <c:v>Schlauchbögen</c:v>
              </c:pt>
            </c:strLit>
          </c:cat>
          <c:val>
            <c:numRef>
              <c:f>(Tabelle1!$N$41,Tabelle1!$N$67,Tabelle1!$N$122,Tabelle1!$N$149,Tabelle1!$N$224)</c:f>
              <c:numCache>
                <c:formatCode>0</c:formatCode>
                <c:ptCount val="5"/>
                <c:pt idx="0">
                  <c:v>1482.3148577214502</c:v>
                </c:pt>
                <c:pt idx="1">
                  <c:v>2329.6663137860514</c:v>
                </c:pt>
                <c:pt idx="2">
                  <c:v>224.06720488293541</c:v>
                </c:pt>
                <c:pt idx="3">
                  <c:v>135.72999733626318</c:v>
                </c:pt>
                <c:pt idx="4">
                  <c:v>60.350807313795315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F59-4EAC-8228-EF404B653C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v>50 L/H</c:v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DAEE-424D-88B3-75DC31F3CAB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DAEE-424D-88B3-75DC31F3CAB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DAEE-424D-88B3-75DC31F3CAB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DAEE-424D-88B3-75DC31F3CABD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DAEE-424D-88B3-75DC31F3CABD}"/>
              </c:ext>
            </c:extLst>
          </c:dPt>
          <c:cat>
            <c:strLit>
              <c:ptCount val="5"/>
              <c:pt idx="0">
                <c:v>Radiator</c:v>
              </c:pt>
              <c:pt idx="1">
                <c:v>Kühler</c:v>
              </c:pt>
              <c:pt idx="2">
                <c:v>Fittinge</c:v>
              </c:pt>
              <c:pt idx="3">
                <c:v>Schlauch</c:v>
              </c:pt>
              <c:pt idx="4">
                <c:v>Schlauchbögen</c:v>
              </c:pt>
            </c:strLit>
          </c:cat>
          <c:val>
            <c:numRef>
              <c:f>(Tabelle1!$O$41,Tabelle1!$O$67,Tabelle1!$O$122,Tabelle1!$O$149,Tabelle1!$O$224)</c:f>
              <c:numCache>
                <c:formatCode>0</c:formatCode>
                <c:ptCount val="5"/>
                <c:pt idx="0">
                  <c:v>2738.9485606340982</c:v>
                </c:pt>
                <c:pt idx="1">
                  <c:v>4654.1765617769061</c:v>
                </c:pt>
                <c:pt idx="2">
                  <c:v>881.78589371639919</c:v>
                </c:pt>
                <c:pt idx="3">
                  <c:v>412.19512301857128</c:v>
                </c:pt>
                <c:pt idx="4">
                  <c:v>183.27789680383137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DAEE-424D-88B3-75DC31F3CA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v>72 L/H</c:v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CED4-4499-91C4-9359FC968A2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CED4-4499-91C4-9359FC968A2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CED4-4499-91C4-9359FC968A2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CED4-4499-91C4-9359FC968A2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CED4-4499-91C4-9359FC968A25}"/>
              </c:ext>
            </c:extLst>
          </c:dPt>
          <c:cat>
            <c:strLit>
              <c:ptCount val="5"/>
              <c:pt idx="0">
                <c:v>Radiator</c:v>
              </c:pt>
              <c:pt idx="1">
                <c:v>Kühler</c:v>
              </c:pt>
              <c:pt idx="2">
                <c:v>Fittinge</c:v>
              </c:pt>
              <c:pt idx="3">
                <c:v>Schlauch</c:v>
              </c:pt>
              <c:pt idx="4">
                <c:v>Schlauchbögen</c:v>
              </c:pt>
            </c:strLit>
          </c:cat>
          <c:val>
            <c:numRef>
              <c:f>(Tabelle1!$P$41,Tabelle1!$P$67,Tabelle1!$P$122,Tabelle1!$P$149,Tabelle1!$P$224)</c:f>
              <c:numCache>
                <c:formatCode>0</c:formatCode>
                <c:ptCount val="5"/>
                <c:pt idx="0">
                  <c:v>4115.2616638241416</c:v>
                </c:pt>
                <c:pt idx="1">
                  <c:v>7586.2882156519236</c:v>
                </c:pt>
                <c:pt idx="2">
                  <c:v>1866.1586827375954</c:v>
                </c:pt>
                <c:pt idx="3">
                  <c:v>769.45155027342594</c:v>
                </c:pt>
                <c:pt idx="4">
                  <c:v>342.1279242554437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CED4-4499-91C4-9359FC968A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v>93 L/H</c:v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5FD9-429E-93B3-204965358A1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5FD9-429E-93B3-204965358A17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5FD9-429E-93B3-204965358A1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5FD9-429E-93B3-204965358A17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5FD9-429E-93B3-204965358A17}"/>
              </c:ext>
            </c:extLst>
          </c:dPt>
          <c:cat>
            <c:strLit>
              <c:ptCount val="5"/>
              <c:pt idx="0">
                <c:v>Radiator</c:v>
              </c:pt>
              <c:pt idx="1">
                <c:v>Kühler</c:v>
              </c:pt>
              <c:pt idx="2">
                <c:v>Fittinge</c:v>
              </c:pt>
              <c:pt idx="3">
                <c:v>Schlauch</c:v>
              </c:pt>
              <c:pt idx="4">
                <c:v>Schlauchbögen</c:v>
              </c:pt>
            </c:strLit>
          </c:cat>
          <c:val>
            <c:numRef>
              <c:f>(Tabelle1!$Q$41,Tabelle1!$Q$67,Tabelle1!$Q$122,Tabelle1!$Q$149,Tabelle1!$Q$224)</c:f>
              <c:numCache>
                <c:formatCode>0</c:formatCode>
                <c:ptCount val="5"/>
                <c:pt idx="0">
                  <c:v>5606.125050136834</c:v>
                </c:pt>
                <c:pt idx="1">
                  <c:v>11032.376035899022</c:v>
                </c:pt>
                <c:pt idx="2">
                  <c:v>3186.300446234116</c:v>
                </c:pt>
                <c:pt idx="3">
                  <c:v>1217.8173176443022</c:v>
                </c:pt>
                <c:pt idx="4">
                  <c:v>541.48868874189725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5FD9-429E-93B3-204965358A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v>114 L/H</c:v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3B32-447A-A025-2ADA5B31465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3B32-447A-A025-2ADA5B314659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3B32-447A-A025-2ADA5B31465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3B32-447A-A025-2ADA5B314659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3B32-447A-A025-2ADA5B314659}"/>
              </c:ext>
            </c:extLst>
          </c:dPt>
          <c:cat>
            <c:strLit>
              <c:ptCount val="5"/>
              <c:pt idx="0">
                <c:v>Radiator</c:v>
              </c:pt>
              <c:pt idx="1">
                <c:v>Kühler</c:v>
              </c:pt>
              <c:pt idx="2">
                <c:v>Fittinge</c:v>
              </c:pt>
              <c:pt idx="3">
                <c:v>Schlauch</c:v>
              </c:pt>
              <c:pt idx="4">
                <c:v>Schlauchbögen</c:v>
              </c:pt>
            </c:strLit>
          </c:cat>
          <c:val>
            <c:numRef>
              <c:f>(Tabelle1!$R$41,Tabelle1!$R$67,Tabelle1!$R$122,Tabelle1!$R$149,Tabelle1!$R$224)</c:f>
              <c:numCache>
                <c:formatCode>0</c:formatCode>
                <c:ptCount val="5"/>
                <c:pt idx="0">
                  <c:v>7197.8610738261887</c:v>
                </c:pt>
                <c:pt idx="1">
                  <c:v>14994.398026961526</c:v>
                </c:pt>
                <c:pt idx="2">
                  <c:v>4825.7072435465616</c:v>
                </c:pt>
                <c:pt idx="3">
                  <c:v>1751.4238065584154</c:v>
                </c:pt>
                <c:pt idx="4">
                  <c:v>778.75077542759891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3B32-447A-A025-2ADA5B3146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5" Type="http://schemas.openxmlformats.org/officeDocument/2006/relationships/chart" Target="../charts/chart6.xml"/><Relationship Id="rId4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508000</xdr:colOff>
      <xdr:row>1</xdr:row>
      <xdr:rowOff>139700</xdr:rowOff>
    </xdr:from>
    <xdr:to>
      <xdr:col>18</xdr:col>
      <xdr:colOff>520700</xdr:colOff>
      <xdr:row>54</xdr:row>
      <xdr:rowOff>158750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2CDA69CC-D3B8-4CC5-82F3-C959C40372B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82550</xdr:colOff>
      <xdr:row>0</xdr:row>
      <xdr:rowOff>38100</xdr:rowOff>
    </xdr:from>
    <xdr:to>
      <xdr:col>8</xdr:col>
      <xdr:colOff>622300</xdr:colOff>
      <xdr:row>22</xdr:row>
      <xdr:rowOff>139700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AD012D02-6DDA-4876-98BF-0FDBC689AD1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19050</xdr:colOff>
      <xdr:row>0</xdr:row>
      <xdr:rowOff>44450</xdr:rowOff>
    </xdr:from>
    <xdr:to>
      <xdr:col>17</xdr:col>
      <xdr:colOff>558800</xdr:colOff>
      <xdr:row>22</xdr:row>
      <xdr:rowOff>146050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7C8E71D2-143D-4F5A-87E4-9E1D6C32A3E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107950</xdr:colOff>
      <xdr:row>23</xdr:row>
      <xdr:rowOff>165100</xdr:rowOff>
    </xdr:from>
    <xdr:to>
      <xdr:col>8</xdr:col>
      <xdr:colOff>647700</xdr:colOff>
      <xdr:row>46</xdr:row>
      <xdr:rowOff>82550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DCAB65EC-EE7D-4A00-B17A-017D5331C0F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107950</xdr:colOff>
      <xdr:row>23</xdr:row>
      <xdr:rowOff>158750</xdr:rowOff>
    </xdr:from>
    <xdr:to>
      <xdr:col>17</xdr:col>
      <xdr:colOff>647700</xdr:colOff>
      <xdr:row>46</xdr:row>
      <xdr:rowOff>76200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B6778271-D0C4-4168-B08E-817DC36C3B4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82550</xdr:colOff>
      <xdr:row>47</xdr:row>
      <xdr:rowOff>57150</xdr:rowOff>
    </xdr:from>
    <xdr:to>
      <xdr:col>8</xdr:col>
      <xdr:colOff>622300</xdr:colOff>
      <xdr:row>69</xdr:row>
      <xdr:rowOff>158750</xdr:rowOff>
    </xdr:to>
    <xdr:graphicFrame macro="">
      <xdr:nvGraphicFramePr>
        <xdr:cNvPr id="7" name="Diagramm 6">
          <a:extLst>
            <a:ext uri="{FF2B5EF4-FFF2-40B4-BE49-F238E27FC236}">
              <a16:creationId xmlns:a16="http://schemas.microsoft.com/office/drawing/2014/main" id="{DC053808-8164-40F9-A5F4-B5B11C3DDE9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644C-8B10-4539-B9D2-E527BD6F0CBD}">
  <dimension ref="A1:AU523"/>
  <sheetViews>
    <sheetView tabSelected="1" topLeftCell="A94" workbookViewId="0">
      <selection activeCell="P215" sqref="P215"/>
    </sheetView>
  </sheetViews>
  <sheetFormatPr baseColWidth="10" defaultRowHeight="14.5" x14ac:dyDescent="0.35"/>
  <cols>
    <col min="1" max="1" width="14.08984375" customWidth="1"/>
    <col min="6" max="6" width="13.36328125" customWidth="1"/>
    <col min="10" max="10" width="26.90625" customWidth="1"/>
  </cols>
  <sheetData>
    <row r="1" spans="1:16" x14ac:dyDescent="0.35">
      <c r="A1" s="2" t="s">
        <v>8</v>
      </c>
    </row>
    <row r="2" spans="1:16" x14ac:dyDescent="0.35">
      <c r="A2" t="s">
        <v>79</v>
      </c>
    </row>
    <row r="3" spans="1:16" x14ac:dyDescent="0.35">
      <c r="A3" t="s">
        <v>83</v>
      </c>
    </row>
    <row r="4" spans="1:16" x14ac:dyDescent="0.35">
      <c r="A4" t="s">
        <v>80</v>
      </c>
    </row>
    <row r="5" spans="1:16" x14ac:dyDescent="0.35">
      <c r="A5" t="s">
        <v>86</v>
      </c>
      <c r="N5" s="6"/>
    </row>
    <row r="6" spans="1:16" x14ac:dyDescent="0.35">
      <c r="N6" s="6"/>
    </row>
    <row r="7" spans="1:16" x14ac:dyDescent="0.35">
      <c r="A7" t="s">
        <v>87</v>
      </c>
      <c r="N7" s="6"/>
    </row>
    <row r="8" spans="1:16" x14ac:dyDescent="0.35">
      <c r="N8" s="6"/>
    </row>
    <row r="9" spans="1:16" x14ac:dyDescent="0.35">
      <c r="N9" s="6"/>
    </row>
    <row r="10" spans="1:16" x14ac:dyDescent="0.35">
      <c r="N10" s="6"/>
    </row>
    <row r="11" spans="1:16" x14ac:dyDescent="0.35">
      <c r="N11" s="6"/>
    </row>
    <row r="12" spans="1:16" ht="15.5" x14ac:dyDescent="0.35">
      <c r="B12" s="15" t="s">
        <v>89</v>
      </c>
      <c r="C12" s="15"/>
      <c r="D12" s="15"/>
      <c r="E12" s="15"/>
      <c r="F12" s="15"/>
      <c r="G12" s="15" t="s">
        <v>90</v>
      </c>
    </row>
    <row r="14" spans="1:16" ht="18.5" x14ac:dyDescent="0.45">
      <c r="A14" t="s">
        <v>0</v>
      </c>
      <c r="B14" s="1" t="s">
        <v>2</v>
      </c>
      <c r="F14" t="s">
        <v>0</v>
      </c>
      <c r="G14" s="1" t="s">
        <v>1</v>
      </c>
      <c r="J14" s="3" t="s">
        <v>9</v>
      </c>
    </row>
    <row r="15" spans="1:16" x14ac:dyDescent="0.35">
      <c r="A15" t="s">
        <v>3</v>
      </c>
      <c r="B15">
        <v>1</v>
      </c>
      <c r="F15" t="s">
        <v>3</v>
      </c>
      <c r="G15">
        <v>1</v>
      </c>
    </row>
    <row r="16" spans="1:16" x14ac:dyDescent="0.35">
      <c r="A16" t="s">
        <v>4</v>
      </c>
      <c r="B16">
        <v>1</v>
      </c>
      <c r="F16" t="s">
        <v>4</v>
      </c>
      <c r="G16">
        <v>1</v>
      </c>
      <c r="J16" t="s">
        <v>10</v>
      </c>
      <c r="K16">
        <v>35</v>
      </c>
      <c r="L16" t="s">
        <v>11</v>
      </c>
      <c r="M16" s="7">
        <f>-144.243725701978+10.5287000584009*($K$16+273.15)+-0.0312569261429242*($K$16+273.15)^2+0.0000294561161905512*($K$16+273.15)^3</f>
        <v>994.03947310089734</v>
      </c>
      <c r="N16" s="8" t="s">
        <v>82</v>
      </c>
      <c r="O16" s="9">
        <f>(0.672217699933641+0.0162955138253262*K16)^(-1/0.673014147097612)</f>
        <v>0.72419898522990278</v>
      </c>
      <c r="P16" t="s">
        <v>84</v>
      </c>
    </row>
    <row r="17" spans="1:47" x14ac:dyDescent="0.35">
      <c r="A17" t="s">
        <v>6</v>
      </c>
      <c r="B17">
        <v>1</v>
      </c>
      <c r="F17" t="s">
        <v>6</v>
      </c>
      <c r="G17">
        <v>1</v>
      </c>
    </row>
    <row r="18" spans="1:47" x14ac:dyDescent="0.35">
      <c r="A18" t="s">
        <v>5</v>
      </c>
      <c r="B18">
        <f>IF(B14="DDC-1T+",4200*B17,4800*B17)</f>
        <v>4200</v>
      </c>
      <c r="C18" t="s">
        <v>7</v>
      </c>
      <c r="F18" t="s">
        <v>5</v>
      </c>
      <c r="G18">
        <f>IF(G14="DDC-1T+",4200*G17,4800*G17)</f>
        <v>4800</v>
      </c>
      <c r="H18" t="s">
        <v>7</v>
      </c>
    </row>
    <row r="19" spans="1:47" x14ac:dyDescent="0.35">
      <c r="I19" s="1" t="s">
        <v>38</v>
      </c>
      <c r="K19" s="1" t="s">
        <v>81</v>
      </c>
      <c r="L19" s="4" t="s">
        <v>78</v>
      </c>
      <c r="M19" s="1">
        <v>0</v>
      </c>
      <c r="N19" s="1">
        <v>8.0000000000000002E-3</v>
      </c>
      <c r="O19" s="1">
        <v>1.4E-2</v>
      </c>
      <c r="P19" s="1">
        <v>0.02</v>
      </c>
      <c r="Q19" s="1">
        <v>2.5999999999999999E-2</v>
      </c>
      <c r="R19" s="1">
        <v>3.2000000000000001E-2</v>
      </c>
      <c r="S19" s="1">
        <v>3.7999999999999999E-2</v>
      </c>
      <c r="T19" s="1">
        <v>4.3999999999999997E-2</v>
      </c>
      <c r="U19" s="1">
        <v>0.05</v>
      </c>
      <c r="V19" s="1">
        <v>5.6000000000000001E-2</v>
      </c>
      <c r="W19" s="1">
        <v>6.2E-2</v>
      </c>
      <c r="X19" s="1">
        <v>6.8000000000000005E-2</v>
      </c>
      <c r="Y19" s="1">
        <v>7.3999999999999996E-2</v>
      </c>
    </row>
    <row r="20" spans="1:47" x14ac:dyDescent="0.35">
      <c r="I20" s="1">
        <v>1</v>
      </c>
      <c r="J20" t="s">
        <v>22</v>
      </c>
      <c r="K20" s="4">
        <v>1</v>
      </c>
      <c r="L20" s="4" t="s">
        <v>12</v>
      </c>
      <c r="M20" s="10">
        <v>0</v>
      </c>
      <c r="N20" s="10">
        <f>867*(991.8/$M$16)*($O$16/0.65)*$K20</f>
        <v>963.79379565763986</v>
      </c>
      <c r="O20" s="10">
        <f>1602*(991.8/$M$16)*($O$16/0.65)*$K20</f>
        <v>1780.8508196580613</v>
      </c>
      <c r="P20" s="10">
        <f>2407*(991.8/$M$16)*($O$16/0.65)*$K20</f>
        <v>2675.7227983251896</v>
      </c>
      <c r="Q20" s="10">
        <f>3279*(991.8/$M$16)*($O$16/0.65)*$K20</f>
        <v>3645.0748050304514</v>
      </c>
      <c r="R20" s="10">
        <f>4210*(991.8/$M$16)*($O$16/0.65)*$K20</f>
        <v>4680.0137020976517</v>
      </c>
      <c r="S20" s="10">
        <f>5216*(991.8/$M$16)*($O$16/0.65)*$K20</f>
        <v>5798.3257648791805</v>
      </c>
      <c r="T20" s="10">
        <f>6304*(991.8/$M$16)*($O$16/0.65)*$K20</f>
        <v>7007.7924888417092</v>
      </c>
      <c r="U20" s="10">
        <f>7456*(991.8/$M$16)*($O$16/0.65)*$K20</f>
        <v>8288.404314213798</v>
      </c>
      <c r="V20" s="10">
        <f>8700*(991.8/$M$16)*($O$16/0.65)*$K20</f>
        <v>9671.2872228621291</v>
      </c>
      <c r="W20" s="10">
        <f>10002*(991.8/$M$16)*($O$16/0.65)*$K20</f>
        <v>11118.645379662878</v>
      </c>
      <c r="X20" s="10">
        <f>11405*(991.8/$M$16)*($O$16/0.65)*$K20</f>
        <v>12678.279399625584</v>
      </c>
      <c r="Y20" s="10">
        <f>12856*(991.8/$M$16)*($O$16/0.65)*$K20</f>
        <v>14291.272245645465</v>
      </c>
    </row>
    <row r="21" spans="1:47" x14ac:dyDescent="0.35">
      <c r="I21" s="1">
        <v>2</v>
      </c>
      <c r="J21" t="s">
        <v>23</v>
      </c>
      <c r="K21" s="4">
        <v>1.2629999999999999</v>
      </c>
      <c r="L21" s="4" t="s">
        <v>12</v>
      </c>
      <c r="M21" s="10">
        <v>0</v>
      </c>
      <c r="N21" s="10">
        <f t="shared" ref="N21:N29" si="0">867*(991.8/$M$16)*($O$16/0.65)*$K21</f>
        <v>1217.271563915599</v>
      </c>
      <c r="O21" s="10">
        <f t="shared" ref="O21:O29" si="1">1602*(991.8/$M$16)*($O$16/0.65)*$K21</f>
        <v>2249.214585228131</v>
      </c>
      <c r="P21" s="10">
        <f t="shared" ref="P21:P29" si="2">2407*(991.8/$M$16)*($O$16/0.65)*$K21</f>
        <v>3379.4378942847143</v>
      </c>
      <c r="Q21" s="10">
        <f t="shared" ref="Q21:Q29" si="3">3279*(991.8/$M$16)*($O$16/0.65)*$K21</f>
        <v>4603.7294787534602</v>
      </c>
      <c r="R21" s="10">
        <f t="shared" ref="R21:R29" si="4">4210*(991.8/$M$16)*($O$16/0.65)*$K21</f>
        <v>5910.857305749334</v>
      </c>
      <c r="S21" s="10">
        <f t="shared" ref="S21:S29" si="5">5216*(991.8/$M$16)*($O$16/0.65)*$K21</f>
        <v>7323.2854410424043</v>
      </c>
      <c r="T21" s="10">
        <f t="shared" ref="T21:T29" si="6">6304*(991.8/$M$16)*($O$16/0.65)*$K21</f>
        <v>8850.8419134070773</v>
      </c>
      <c r="U21" s="10">
        <f t="shared" ref="U21:U29" si="7">7456*(991.8/$M$16)*($O$16/0.65)*$K21</f>
        <v>10468.254648852026</v>
      </c>
      <c r="V21" s="10">
        <f t="shared" ref="V21:V29" si="8">8700*(991.8/$M$16)*($O$16/0.65)*$K21</f>
        <v>12214.835762474868</v>
      </c>
      <c r="W21" s="10">
        <f t="shared" ref="W21:W29" si="9">10002*(991.8/$M$16)*($O$16/0.65)*$K21</f>
        <v>14042.849114514212</v>
      </c>
      <c r="X21" s="10">
        <f t="shared" ref="X21:X29" si="10">11405*(991.8/$M$16)*($O$16/0.65)*$K21</f>
        <v>16012.666881727111</v>
      </c>
      <c r="Y21" s="10">
        <f t="shared" ref="Y21:Y29" si="11">12856*(991.8/$M$16)*($O$16/0.65)*$K21</f>
        <v>18049.876846250219</v>
      </c>
    </row>
    <row r="22" spans="1:47" x14ac:dyDescent="0.35">
      <c r="A22" s="1" t="s">
        <v>85</v>
      </c>
      <c r="B22" s="1" t="s">
        <v>12</v>
      </c>
      <c r="F22" s="1" t="s">
        <v>85</v>
      </c>
      <c r="G22" s="1" t="s">
        <v>12</v>
      </c>
      <c r="I22" s="1">
        <v>3</v>
      </c>
      <c r="J22" t="s">
        <v>24</v>
      </c>
      <c r="K22" s="4">
        <v>1.538</v>
      </c>
      <c r="L22" s="4" t="s">
        <v>12</v>
      </c>
      <c r="M22" s="10">
        <v>0</v>
      </c>
      <c r="N22" s="10">
        <f t="shared" si="0"/>
        <v>1482.3148577214502</v>
      </c>
      <c r="O22" s="10">
        <f t="shared" si="1"/>
        <v>2738.9485606340982</v>
      </c>
      <c r="P22" s="10">
        <f t="shared" si="2"/>
        <v>4115.2616638241416</v>
      </c>
      <c r="Q22" s="10">
        <f t="shared" si="3"/>
        <v>5606.125050136834</v>
      </c>
      <c r="R22" s="10">
        <f t="shared" si="4"/>
        <v>7197.8610738261887</v>
      </c>
      <c r="S22" s="10">
        <f t="shared" si="5"/>
        <v>8917.8250263841801</v>
      </c>
      <c r="T22" s="10">
        <f t="shared" si="6"/>
        <v>10777.984847838548</v>
      </c>
      <c r="U22" s="10">
        <f t="shared" si="7"/>
        <v>12747.565835260822</v>
      </c>
      <c r="V22" s="10">
        <f t="shared" si="8"/>
        <v>14874.439748761955</v>
      </c>
      <c r="W22" s="10">
        <f t="shared" si="9"/>
        <v>17100.476593921507</v>
      </c>
      <c r="X22" s="10">
        <f t="shared" si="10"/>
        <v>19499.193716624148</v>
      </c>
      <c r="Y22" s="10">
        <f t="shared" si="11"/>
        <v>21979.976713802724</v>
      </c>
      <c r="AQ22" s="1" t="s">
        <v>85</v>
      </c>
      <c r="AR22" s="1" t="s">
        <v>88</v>
      </c>
      <c r="AS22" s="1" t="s">
        <v>12</v>
      </c>
      <c r="AT22" s="1" t="s">
        <v>88</v>
      </c>
      <c r="AU22" s="1" t="s">
        <v>12</v>
      </c>
    </row>
    <row r="23" spans="1:47" x14ac:dyDescent="0.35">
      <c r="A23">
        <f>AQ23*B$16*B$17</f>
        <v>0</v>
      </c>
      <c r="B23" s="13">
        <f>IF(B$14="DDC-1T+",AS23*B$15*B$17^2,AU23*B$15*B$17^2)</f>
        <v>46009.932780000003</v>
      </c>
      <c r="F23">
        <f>AQ23*G$16*G$17</f>
        <v>0</v>
      </c>
      <c r="G23" s="13">
        <f>IF(G$14="DDC-1T+",AS23*G$15*G$17^2,AU23*G$15*G$17^2)</f>
        <v>36220.585380000004</v>
      </c>
      <c r="I23" s="1">
        <v>4</v>
      </c>
      <c r="J23" t="s">
        <v>25</v>
      </c>
      <c r="K23" s="4">
        <v>1.042</v>
      </c>
      <c r="L23" s="4" t="s">
        <v>12</v>
      </c>
      <c r="M23" s="10">
        <v>0</v>
      </c>
      <c r="N23" s="10">
        <f t="shared" si="0"/>
        <v>1004.2731350752608</v>
      </c>
      <c r="O23" s="10">
        <f t="shared" si="1"/>
        <v>1855.6465540836998</v>
      </c>
      <c r="P23" s="10">
        <f t="shared" si="2"/>
        <v>2788.1031558548475</v>
      </c>
      <c r="Q23" s="10">
        <f t="shared" si="3"/>
        <v>3798.1679468417306</v>
      </c>
      <c r="R23" s="10">
        <f t="shared" si="4"/>
        <v>4876.5742775857534</v>
      </c>
      <c r="S23" s="10">
        <f t="shared" si="5"/>
        <v>6041.8554470041063</v>
      </c>
      <c r="T23" s="10">
        <f t="shared" si="6"/>
        <v>7302.1197733730614</v>
      </c>
      <c r="U23" s="10">
        <f t="shared" si="7"/>
        <v>8636.5172954107784</v>
      </c>
      <c r="V23" s="10">
        <f t="shared" si="8"/>
        <v>10077.481286222339</v>
      </c>
      <c r="W23" s="10">
        <f t="shared" si="9"/>
        <v>11585.628485608719</v>
      </c>
      <c r="X23" s="10">
        <f t="shared" si="10"/>
        <v>13210.76713440986</v>
      </c>
      <c r="Y23" s="10">
        <f t="shared" si="11"/>
        <v>14891.505679962575</v>
      </c>
      <c r="AQ23">
        <v>0</v>
      </c>
      <c r="AR23" s="14">
        <v>4.7</v>
      </c>
      <c r="AS23" s="13">
        <f>AR23*998.2*9.807</f>
        <v>46009.932780000003</v>
      </c>
      <c r="AT23" s="9">
        <v>3.7</v>
      </c>
      <c r="AU23" s="13">
        <f>AT23*998.2*9.807</f>
        <v>36220.585380000004</v>
      </c>
    </row>
    <row r="24" spans="1:47" x14ac:dyDescent="0.35">
      <c r="A24">
        <f t="shared" ref="A24:A87" si="12">AQ24*B$16*B$17</f>
        <v>1</v>
      </c>
      <c r="B24" s="13">
        <f t="shared" ref="B24:B87" si="13">IF(B$14="DDC-1T+",AS24*B$15*B$17^2,AU24*B$15*B$17^2)</f>
        <v>46009.876273537368</v>
      </c>
      <c r="F24">
        <f t="shared" ref="F24:F87" si="14">AQ24*G$16*G$17</f>
        <v>1</v>
      </c>
      <c r="G24" s="13">
        <f t="shared" ref="G24:G87" si="15">IF(G$14="DDC-1T+",AS24*G$15*G$17^2,AU24*G$15*G$17^2)</f>
        <v>36216.305722050405</v>
      </c>
      <c r="I24" s="1">
        <v>5</v>
      </c>
      <c r="J24" t="s">
        <v>26</v>
      </c>
      <c r="K24" s="4">
        <v>0.871</v>
      </c>
      <c r="L24" s="4" t="s">
        <v>12</v>
      </c>
      <c r="M24" s="10">
        <v>0</v>
      </c>
      <c r="N24" s="10">
        <f t="shared" si="0"/>
        <v>839.46439601780435</v>
      </c>
      <c r="O24" s="10">
        <f t="shared" si="1"/>
        <v>1551.1210639221713</v>
      </c>
      <c r="P24" s="10">
        <f t="shared" si="2"/>
        <v>2330.5545573412401</v>
      </c>
      <c r="Q24" s="10">
        <f t="shared" si="3"/>
        <v>3174.8601551815232</v>
      </c>
      <c r="R24" s="10">
        <f t="shared" si="4"/>
        <v>4076.2919345270548</v>
      </c>
      <c r="S24" s="10">
        <f t="shared" si="5"/>
        <v>5050.341741209766</v>
      </c>
      <c r="T24" s="10">
        <f t="shared" si="6"/>
        <v>6103.7872577811286</v>
      </c>
      <c r="U24" s="10">
        <f t="shared" si="7"/>
        <v>7219.2001576802177</v>
      </c>
      <c r="V24" s="10">
        <f t="shared" si="8"/>
        <v>8423.6911711129142</v>
      </c>
      <c r="W24" s="10">
        <f t="shared" si="9"/>
        <v>9684.3401256863672</v>
      </c>
      <c r="X24" s="10">
        <f t="shared" si="10"/>
        <v>11042.781357073884</v>
      </c>
      <c r="Y24" s="10">
        <f t="shared" si="11"/>
        <v>12447.6981259572</v>
      </c>
      <c r="AQ24">
        <v>1</v>
      </c>
      <c r="AR24" s="14">
        <v>4.6999942277600004</v>
      </c>
      <c r="AS24" s="13">
        <f t="shared" ref="AS24:AS87" si="16">AR24*998.2*9.807</f>
        <v>46009.876273537368</v>
      </c>
      <c r="AT24" s="9">
        <v>3.6995628250000001</v>
      </c>
      <c r="AU24" s="13">
        <f t="shared" ref="AU24:AU87" si="17">AT24*998.2*9.807</f>
        <v>36216.305722050405</v>
      </c>
    </row>
    <row r="25" spans="1:47" x14ac:dyDescent="0.35">
      <c r="A25">
        <f t="shared" si="12"/>
        <v>2</v>
      </c>
      <c r="B25" s="13">
        <f t="shared" si="13"/>
        <v>46009.674937910859</v>
      </c>
      <c r="F25">
        <f t="shared" si="14"/>
        <v>2</v>
      </c>
      <c r="G25" s="13">
        <f t="shared" si="15"/>
        <v>36210.047626048661</v>
      </c>
      <c r="I25" s="1">
        <v>6</v>
      </c>
      <c r="J25" t="s">
        <v>27</v>
      </c>
      <c r="K25" s="4">
        <v>1</v>
      </c>
      <c r="L25" s="4" t="s">
        <v>12</v>
      </c>
      <c r="M25" s="10">
        <v>0</v>
      </c>
      <c r="N25" s="10">
        <f t="shared" si="0"/>
        <v>963.79379565763986</v>
      </c>
      <c r="O25" s="10">
        <f t="shared" si="1"/>
        <v>1780.8508196580613</v>
      </c>
      <c r="P25" s="10">
        <f t="shared" si="2"/>
        <v>2675.7227983251896</v>
      </c>
      <c r="Q25" s="10">
        <f t="shared" si="3"/>
        <v>3645.0748050304514</v>
      </c>
      <c r="R25" s="10">
        <f t="shared" si="4"/>
        <v>4680.0137020976517</v>
      </c>
      <c r="S25" s="10">
        <f t="shared" si="5"/>
        <v>5798.3257648791805</v>
      </c>
      <c r="T25" s="10">
        <f t="shared" si="6"/>
        <v>7007.7924888417092</v>
      </c>
      <c r="U25" s="10">
        <f t="shared" si="7"/>
        <v>8288.404314213798</v>
      </c>
      <c r="V25" s="10">
        <f t="shared" si="8"/>
        <v>9671.2872228621291</v>
      </c>
      <c r="W25" s="10">
        <f t="shared" si="9"/>
        <v>11118.645379662878</v>
      </c>
      <c r="X25" s="10">
        <f t="shared" si="10"/>
        <v>12678.279399625584</v>
      </c>
      <c r="Y25" s="10">
        <f t="shared" si="11"/>
        <v>14291.272245645465</v>
      </c>
      <c r="AQ25">
        <v>2</v>
      </c>
      <c r="AR25" s="14">
        <v>4.6999736609521952</v>
      </c>
      <c r="AS25" s="13">
        <f t="shared" si="16"/>
        <v>46009.674937910859</v>
      </c>
      <c r="AT25" s="9">
        <v>3.6989235488821919</v>
      </c>
      <c r="AU25" s="13">
        <f t="shared" si="17"/>
        <v>36210.047626048661</v>
      </c>
    </row>
    <row r="26" spans="1:47" x14ac:dyDescent="0.35">
      <c r="A26">
        <f t="shared" si="12"/>
        <v>3</v>
      </c>
      <c r="B26" s="13">
        <f t="shared" si="13"/>
        <v>46009.306175270271</v>
      </c>
      <c r="F26">
        <f t="shared" si="14"/>
        <v>3</v>
      </c>
      <c r="G26" s="13">
        <f t="shared" si="15"/>
        <v>36202.734209802686</v>
      </c>
      <c r="I26" s="1">
        <v>7</v>
      </c>
      <c r="J26" t="s">
        <v>63</v>
      </c>
      <c r="K26" s="4">
        <v>1</v>
      </c>
      <c r="L26" s="4" t="s">
        <v>12</v>
      </c>
      <c r="M26" s="10">
        <v>0</v>
      </c>
      <c r="N26" s="10">
        <f t="shared" si="0"/>
        <v>963.79379565763986</v>
      </c>
      <c r="O26" s="10">
        <f t="shared" si="1"/>
        <v>1780.8508196580613</v>
      </c>
      <c r="P26" s="10">
        <f t="shared" si="2"/>
        <v>2675.7227983251896</v>
      </c>
      <c r="Q26" s="10">
        <f t="shared" si="3"/>
        <v>3645.0748050304514</v>
      </c>
      <c r="R26" s="10">
        <f t="shared" si="4"/>
        <v>4680.0137020976517</v>
      </c>
      <c r="S26" s="10">
        <f t="shared" si="5"/>
        <v>5798.3257648791805</v>
      </c>
      <c r="T26" s="10">
        <f t="shared" si="6"/>
        <v>7007.7924888417092</v>
      </c>
      <c r="U26" s="10">
        <f t="shared" si="7"/>
        <v>8288.404314213798</v>
      </c>
      <c r="V26" s="10">
        <f t="shared" si="8"/>
        <v>9671.2872228621291</v>
      </c>
      <c r="W26" s="10">
        <f t="shared" si="9"/>
        <v>11118.645379662878</v>
      </c>
      <c r="X26" s="10">
        <f t="shared" si="10"/>
        <v>12678.279399625584</v>
      </c>
      <c r="Y26" s="10">
        <f t="shared" si="11"/>
        <v>14291.272245645465</v>
      </c>
      <c r="AQ26">
        <v>3</v>
      </c>
      <c r="AR26" s="14">
        <v>4.69993599116426</v>
      </c>
      <c r="AS26" s="13">
        <f t="shared" si="16"/>
        <v>46009.306175270271</v>
      </c>
      <c r="AT26" s="9">
        <v>3.6981764698434016</v>
      </c>
      <c r="AU26" s="13">
        <f t="shared" si="17"/>
        <v>36202.734209802686</v>
      </c>
    </row>
    <row r="27" spans="1:47" x14ac:dyDescent="0.35">
      <c r="A27">
        <f t="shared" si="12"/>
        <v>4</v>
      </c>
      <c r="B27" s="13">
        <f t="shared" si="13"/>
        <v>46008.756232401101</v>
      </c>
      <c r="F27">
        <f t="shared" si="14"/>
        <v>4</v>
      </c>
      <c r="G27" s="13">
        <f t="shared" si="15"/>
        <v>36194.638386187209</v>
      </c>
      <c r="I27" s="1">
        <v>8</v>
      </c>
      <c r="J27" t="s">
        <v>64</v>
      </c>
      <c r="K27" s="4">
        <v>1</v>
      </c>
      <c r="L27" s="4" t="s">
        <v>12</v>
      </c>
      <c r="M27" s="10">
        <v>0</v>
      </c>
      <c r="N27" s="10">
        <f t="shared" si="0"/>
        <v>963.79379565763986</v>
      </c>
      <c r="O27" s="10">
        <f t="shared" si="1"/>
        <v>1780.8508196580613</v>
      </c>
      <c r="P27" s="10">
        <f t="shared" si="2"/>
        <v>2675.7227983251896</v>
      </c>
      <c r="Q27" s="10">
        <f t="shared" si="3"/>
        <v>3645.0748050304514</v>
      </c>
      <c r="R27" s="10">
        <f t="shared" si="4"/>
        <v>4680.0137020976517</v>
      </c>
      <c r="S27" s="10">
        <f t="shared" si="5"/>
        <v>5798.3257648791805</v>
      </c>
      <c r="T27" s="10">
        <f t="shared" si="6"/>
        <v>7007.7924888417092</v>
      </c>
      <c r="U27" s="10">
        <f t="shared" si="7"/>
        <v>8288.404314213798</v>
      </c>
      <c r="V27" s="10">
        <f t="shared" si="8"/>
        <v>9671.2872228621291</v>
      </c>
      <c r="W27" s="10">
        <f t="shared" si="9"/>
        <v>11118.645379662878</v>
      </c>
      <c r="X27" s="10">
        <f t="shared" si="10"/>
        <v>12678.279399625584</v>
      </c>
      <c r="Y27" s="10">
        <f t="shared" si="11"/>
        <v>14291.272245645465</v>
      </c>
      <c r="AQ27">
        <v>4</v>
      </c>
      <c r="AR27" s="14">
        <v>4.6998798134798134</v>
      </c>
      <c r="AS27" s="13">
        <f t="shared" si="16"/>
        <v>46008.756232401101</v>
      </c>
      <c r="AT27" s="9">
        <v>3.6973494664401434</v>
      </c>
      <c r="AU27" s="13">
        <f t="shared" si="17"/>
        <v>36194.638386187209</v>
      </c>
    </row>
    <row r="28" spans="1:47" x14ac:dyDescent="0.35">
      <c r="A28">
        <f t="shared" si="12"/>
        <v>5</v>
      </c>
      <c r="B28" s="13">
        <f t="shared" si="13"/>
        <v>46008.014807259693</v>
      </c>
      <c r="F28">
        <f t="shared" si="14"/>
        <v>5</v>
      </c>
      <c r="G28" s="13">
        <f t="shared" si="15"/>
        <v>36185.906100562002</v>
      </c>
      <c r="I28" s="1">
        <v>9</v>
      </c>
      <c r="J28" t="s">
        <v>74</v>
      </c>
      <c r="K28" s="4">
        <v>1</v>
      </c>
      <c r="L28" s="4" t="s">
        <v>12</v>
      </c>
      <c r="M28" s="10">
        <v>0</v>
      </c>
      <c r="N28" s="10">
        <f t="shared" si="0"/>
        <v>963.79379565763986</v>
      </c>
      <c r="O28" s="10">
        <f t="shared" si="1"/>
        <v>1780.8508196580613</v>
      </c>
      <c r="P28" s="10">
        <f t="shared" si="2"/>
        <v>2675.7227983251896</v>
      </c>
      <c r="Q28" s="10">
        <f t="shared" si="3"/>
        <v>3645.0748050304514</v>
      </c>
      <c r="R28" s="10">
        <f t="shared" si="4"/>
        <v>4680.0137020976517</v>
      </c>
      <c r="S28" s="10">
        <f t="shared" si="5"/>
        <v>5798.3257648791805</v>
      </c>
      <c r="T28" s="10">
        <f t="shared" si="6"/>
        <v>7007.7924888417092</v>
      </c>
      <c r="U28" s="10">
        <f t="shared" si="7"/>
        <v>8288.404314213798</v>
      </c>
      <c r="V28" s="10">
        <f t="shared" si="8"/>
        <v>9671.2872228621291</v>
      </c>
      <c r="W28" s="10">
        <f t="shared" si="9"/>
        <v>11118.645379662878</v>
      </c>
      <c r="X28" s="10">
        <f t="shared" si="10"/>
        <v>12678.279399625584</v>
      </c>
      <c r="Y28" s="10">
        <f t="shared" si="11"/>
        <v>14291.272245645465</v>
      </c>
      <c r="AQ28">
        <v>5</v>
      </c>
      <c r="AR28" s="14">
        <v>4.6998040755259831</v>
      </c>
      <c r="AS28" s="13">
        <f t="shared" si="16"/>
        <v>46008.014807259693</v>
      </c>
      <c r="AT28" s="9">
        <v>3.6964574472617042</v>
      </c>
      <c r="AU28" s="13">
        <f t="shared" si="17"/>
        <v>36185.906100562002</v>
      </c>
    </row>
    <row r="29" spans="1:47" x14ac:dyDescent="0.35">
      <c r="A29">
        <f t="shared" si="12"/>
        <v>6</v>
      </c>
      <c r="B29" s="13">
        <f t="shared" si="13"/>
        <v>46007.073548240536</v>
      </c>
      <c r="F29">
        <f t="shared" si="14"/>
        <v>6</v>
      </c>
      <c r="G29" s="13">
        <f t="shared" si="15"/>
        <v>36176.630643079807</v>
      </c>
      <c r="I29" s="1">
        <v>10</v>
      </c>
      <c r="J29" t="s">
        <v>75</v>
      </c>
      <c r="K29" s="4">
        <v>1</v>
      </c>
      <c r="L29" s="4" t="s">
        <v>12</v>
      </c>
      <c r="M29" s="10">
        <v>0</v>
      </c>
      <c r="N29" s="10">
        <f t="shared" si="0"/>
        <v>963.79379565763986</v>
      </c>
      <c r="O29" s="10">
        <f t="shared" si="1"/>
        <v>1780.8508196580613</v>
      </c>
      <c r="P29" s="10">
        <f t="shared" si="2"/>
        <v>2675.7227983251896</v>
      </c>
      <c r="Q29" s="10">
        <f t="shared" si="3"/>
        <v>3645.0748050304514</v>
      </c>
      <c r="R29" s="10">
        <f t="shared" si="4"/>
        <v>4680.0137020976517</v>
      </c>
      <c r="S29" s="10">
        <f t="shared" si="5"/>
        <v>5798.3257648791805</v>
      </c>
      <c r="T29" s="10">
        <f t="shared" si="6"/>
        <v>7007.7924888417092</v>
      </c>
      <c r="U29" s="10">
        <f t="shared" si="7"/>
        <v>8288.404314213798</v>
      </c>
      <c r="V29" s="10">
        <f t="shared" si="8"/>
        <v>9671.2872228621291</v>
      </c>
      <c r="W29" s="10">
        <f t="shared" si="9"/>
        <v>11118.645379662878</v>
      </c>
      <c r="X29" s="10">
        <f t="shared" si="10"/>
        <v>12678.279399625584</v>
      </c>
      <c r="Y29" s="10">
        <f t="shared" si="11"/>
        <v>14291.272245645465</v>
      </c>
      <c r="AQ29">
        <v>6</v>
      </c>
      <c r="AR29" s="14">
        <v>4.6997079241707702</v>
      </c>
      <c r="AS29" s="13">
        <f t="shared" si="16"/>
        <v>46007.073548240536</v>
      </c>
      <c r="AT29" s="9">
        <v>3.6955099420702755</v>
      </c>
      <c r="AU29" s="13">
        <f t="shared" si="17"/>
        <v>36176.630643079807</v>
      </c>
    </row>
    <row r="30" spans="1:47" x14ac:dyDescent="0.35">
      <c r="A30">
        <f t="shared" si="12"/>
        <v>7</v>
      </c>
      <c r="B30" s="13">
        <f t="shared" si="13"/>
        <v>46005.925378757624</v>
      </c>
      <c r="F30">
        <f t="shared" si="14"/>
        <v>7</v>
      </c>
      <c r="G30" s="13">
        <f t="shared" si="15"/>
        <v>36166.877685294603</v>
      </c>
      <c r="AQ30">
        <v>7</v>
      </c>
      <c r="AR30" s="14">
        <v>4.6995906365277849</v>
      </c>
      <c r="AS30" s="13">
        <f t="shared" si="16"/>
        <v>46005.925378757624</v>
      </c>
      <c r="AT30" s="9">
        <v>3.6945136593369443</v>
      </c>
      <c r="AU30" s="13">
        <f t="shared" si="17"/>
        <v>36166.877685294603</v>
      </c>
    </row>
    <row r="31" spans="1:47" x14ac:dyDescent="0.35">
      <c r="A31">
        <f t="shared" si="12"/>
        <v>8</v>
      </c>
      <c r="B31" s="13">
        <f t="shared" si="13"/>
        <v>46004.564128756727</v>
      </c>
      <c r="F31">
        <f t="shared" si="14"/>
        <v>8</v>
      </c>
      <c r="G31" s="13">
        <f t="shared" si="15"/>
        <v>36156.696387048563</v>
      </c>
      <c r="J31" t="s">
        <v>39</v>
      </c>
      <c r="K31" s="4">
        <v>0</v>
      </c>
      <c r="AQ31">
        <v>8</v>
      </c>
      <c r="AR31" s="14">
        <v>4.6994515823145395</v>
      </c>
      <c r="AS31" s="13">
        <f t="shared" si="16"/>
        <v>46004.564128756727</v>
      </c>
      <c r="AT31" s="9">
        <v>3.6934736208307983</v>
      </c>
      <c r="AU31" s="13">
        <f t="shared" si="17"/>
        <v>36156.696387048563</v>
      </c>
    </row>
    <row r="32" spans="1:47" x14ac:dyDescent="0.35">
      <c r="A32">
        <f t="shared" si="12"/>
        <v>9</v>
      </c>
      <c r="B32" s="13">
        <f t="shared" si="13"/>
        <v>46002.984309524167</v>
      </c>
      <c r="F32">
        <f t="shared" si="14"/>
        <v>9</v>
      </c>
      <c r="G32" s="13">
        <f t="shared" si="15"/>
        <v>36146.125158840543</v>
      </c>
      <c r="J32" t="s">
        <v>40</v>
      </c>
      <c r="K32" s="4">
        <v>0</v>
      </c>
      <c r="AQ32">
        <v>9</v>
      </c>
      <c r="AR32" s="14">
        <v>4.6992902008487478</v>
      </c>
      <c r="AS32" s="13">
        <f t="shared" si="16"/>
        <v>46002.984309524167</v>
      </c>
      <c r="AT32" s="9">
        <v>3.6923937502555626</v>
      </c>
      <c r="AU32" s="13">
        <f t="shared" si="17"/>
        <v>36146.125158840543</v>
      </c>
    </row>
    <row r="33" spans="1:47" x14ac:dyDescent="0.35">
      <c r="A33">
        <f t="shared" si="12"/>
        <v>10</v>
      </c>
      <c r="B33" s="13">
        <f t="shared" si="13"/>
        <v>46001.180965159321</v>
      </c>
      <c r="F33">
        <f t="shared" si="14"/>
        <v>10</v>
      </c>
      <c r="G33" s="13">
        <f t="shared" si="15"/>
        <v>36135.194977722167</v>
      </c>
      <c r="J33" t="s">
        <v>41</v>
      </c>
      <c r="K33" s="4">
        <v>1</v>
      </c>
      <c r="AQ33">
        <v>10</v>
      </c>
      <c r="AR33" s="14">
        <v>4.6991059858759652</v>
      </c>
      <c r="AS33" s="13">
        <f t="shared" si="16"/>
        <v>46001.180965159321</v>
      </c>
      <c r="AT33" s="9">
        <v>3.6912772119745352</v>
      </c>
      <c r="AU33" s="13">
        <f t="shared" si="17"/>
        <v>36135.194977722167</v>
      </c>
    </row>
    <row r="34" spans="1:47" x14ac:dyDescent="0.35">
      <c r="A34">
        <f t="shared" si="12"/>
        <v>11</v>
      </c>
      <c r="B34" s="13">
        <f t="shared" si="13"/>
        <v>45999.149569049056</v>
      </c>
      <c r="F34">
        <f t="shared" si="14"/>
        <v>11</v>
      </c>
      <c r="G34" s="13">
        <f t="shared" si="15"/>
        <v>36123.931442682508</v>
      </c>
      <c r="J34" t="s">
        <v>42</v>
      </c>
      <c r="K34" s="4">
        <v>0</v>
      </c>
      <c r="AQ34">
        <v>11</v>
      </c>
      <c r="AR34" s="14">
        <v>4.6988984749942624</v>
      </c>
      <c r="AS34" s="13">
        <f t="shared" si="16"/>
        <v>45999.149569049056</v>
      </c>
      <c r="AT34" s="9">
        <v>3.6901266209719457</v>
      </c>
      <c r="AU34" s="13">
        <f t="shared" si="17"/>
        <v>36123.931442682508</v>
      </c>
    </row>
    <row r="35" spans="1:47" x14ac:dyDescent="0.35">
      <c r="A35">
        <f t="shared" si="12"/>
        <v>12</v>
      </c>
      <c r="B35" s="13">
        <f t="shared" si="13"/>
        <v>45996.885948614137</v>
      </c>
      <c r="F35">
        <f t="shared" si="14"/>
        <v>12</v>
      </c>
      <c r="G35" s="13">
        <f t="shared" si="15"/>
        <v>36112.35612240131</v>
      </c>
      <c r="J35" t="s">
        <v>43</v>
      </c>
      <c r="K35" s="4">
        <v>0</v>
      </c>
      <c r="AQ35">
        <v>12</v>
      </c>
      <c r="AR35" s="14">
        <v>4.6986672419669295</v>
      </c>
      <c r="AS35" s="13">
        <f t="shared" si="16"/>
        <v>45996.885948614137</v>
      </c>
      <c r="AT35" s="9">
        <v>3.6889441805284493</v>
      </c>
      <c r="AU35" s="13">
        <f t="shared" si="17"/>
        <v>36112.35612240131</v>
      </c>
    </row>
    <row r="36" spans="1:47" x14ac:dyDescent="0.35">
      <c r="A36">
        <f t="shared" si="12"/>
        <v>13</v>
      </c>
      <c r="B36" s="13">
        <f t="shared" si="13"/>
        <v>45994.386228766336</v>
      </c>
      <c r="F36">
        <f t="shared" si="14"/>
        <v>13</v>
      </c>
      <c r="G36" s="13">
        <f t="shared" si="15"/>
        <v>36100.487478885872</v>
      </c>
      <c r="J36" t="s">
        <v>44</v>
      </c>
      <c r="K36" s="4">
        <v>0</v>
      </c>
      <c r="AQ36">
        <v>13</v>
      </c>
      <c r="AR36" s="14">
        <v>4.6984118909465131</v>
      </c>
      <c r="AS36" s="13">
        <f t="shared" si="16"/>
        <v>45994.386228766336</v>
      </c>
      <c r="AT36" s="9">
        <v>3.687731776572345</v>
      </c>
      <c r="AU36" s="13">
        <f t="shared" si="17"/>
        <v>36100.487478885872</v>
      </c>
    </row>
    <row r="37" spans="1:47" x14ac:dyDescent="0.35">
      <c r="A37">
        <f t="shared" si="12"/>
        <v>14</v>
      </c>
      <c r="B37" s="13">
        <f t="shared" si="13"/>
        <v>45991.646788271035</v>
      </c>
      <c r="F37">
        <f t="shared" si="14"/>
        <v>14</v>
      </c>
      <c r="G37" s="13">
        <f t="shared" si="15"/>
        <v>36088.341523419629</v>
      </c>
      <c r="J37" t="s">
        <v>45</v>
      </c>
      <c r="K37" s="4">
        <v>0</v>
      </c>
      <c r="AQ37">
        <v>14</v>
      </c>
      <c r="AR37" s="14">
        <v>4.6981320520171783</v>
      </c>
      <c r="AS37" s="13">
        <f t="shared" si="16"/>
        <v>45991.646788271035</v>
      </c>
      <c r="AT37" s="9">
        <v>3.6864910446859436</v>
      </c>
      <c r="AU37" s="13">
        <f t="shared" si="17"/>
        <v>36088.341523419629</v>
      </c>
    </row>
    <row r="38" spans="1:47" x14ac:dyDescent="0.35">
      <c r="A38">
        <f t="shared" si="12"/>
        <v>15</v>
      </c>
      <c r="B38" s="13">
        <f t="shared" si="13"/>
        <v>45988.664225316053</v>
      </c>
      <c r="F38">
        <f t="shared" si="14"/>
        <v>15</v>
      </c>
      <c r="G38" s="13">
        <f t="shared" si="15"/>
        <v>36075.932296305153</v>
      </c>
      <c r="J38" t="s">
        <v>46</v>
      </c>
      <c r="K38" s="4">
        <v>0</v>
      </c>
      <c r="AQ38">
        <v>15</v>
      </c>
      <c r="AR38" s="14">
        <v>4.6978273776775001</v>
      </c>
      <c r="AS38" s="13">
        <f t="shared" si="16"/>
        <v>45988.664225316053</v>
      </c>
      <c r="AT38" s="9">
        <v>3.685223419112202</v>
      </c>
      <c r="AU38" s="13">
        <f t="shared" si="17"/>
        <v>36075.932296305153</v>
      </c>
    </row>
    <row r="39" spans="1:47" x14ac:dyDescent="0.35">
      <c r="A39">
        <f t="shared" si="12"/>
        <v>16</v>
      </c>
      <c r="B39" s="13">
        <f t="shared" si="13"/>
        <v>45985.435329834057</v>
      </c>
      <c r="F39">
        <f t="shared" si="14"/>
        <v>16</v>
      </c>
      <c r="G39" s="13">
        <f t="shared" si="15"/>
        <v>36063.272226507208</v>
      </c>
      <c r="J39" t="s">
        <v>47</v>
      </c>
      <c r="K39" s="4">
        <v>0</v>
      </c>
      <c r="AQ39">
        <v>16</v>
      </c>
      <c r="AR39" s="14">
        <v>4.6974975400131429</v>
      </c>
      <c r="AS39" s="13">
        <f t="shared" si="16"/>
        <v>45985.435329834057</v>
      </c>
      <c r="AT39" s="9">
        <v>3.6839301694929336</v>
      </c>
      <c r="AU39" s="13">
        <f t="shared" si="17"/>
        <v>36063.272226507208</v>
      </c>
    </row>
    <row r="40" spans="1:47" x14ac:dyDescent="0.35">
      <c r="A40">
        <f t="shared" si="12"/>
        <v>17</v>
      </c>
      <c r="B40" s="13">
        <f t="shared" si="13"/>
        <v>45981.957060897439</v>
      </c>
      <c r="F40">
        <f t="shared" si="14"/>
        <v>17</v>
      </c>
      <c r="G40" s="13">
        <f t="shared" si="15"/>
        <v>36050.37240699523</v>
      </c>
      <c r="J40" t="s">
        <v>48</v>
      </c>
      <c r="K40" s="4">
        <v>0</v>
      </c>
      <c r="AQ40">
        <v>17</v>
      </c>
      <c r="AR40" s="14">
        <v>4.69714222838771</v>
      </c>
      <c r="AS40" s="13">
        <f t="shared" si="16"/>
        <v>45981.957060897439</v>
      </c>
      <c r="AT40" s="9">
        <v>3.6826124289955455</v>
      </c>
      <c r="AU40" s="13">
        <f t="shared" si="17"/>
        <v>36050.37240699523</v>
      </c>
    </row>
    <row r="41" spans="1:47" x14ac:dyDescent="0.35">
      <c r="A41">
        <f t="shared" si="12"/>
        <v>18</v>
      </c>
      <c r="B41" s="13">
        <f t="shared" si="13"/>
        <v>45978.226528001571</v>
      </c>
      <c r="F41">
        <f t="shared" si="14"/>
        <v>18</v>
      </c>
      <c r="G41" s="13">
        <f t="shared" si="15"/>
        <v>36037.242809406212</v>
      </c>
      <c r="L41" s="12" t="s">
        <v>12</v>
      </c>
      <c r="M41" s="10">
        <f>M20*$K31+M21*$K32+M22*$K33+M23*$K34+M24*$K35+M25*$K36+M26*$K37+M27*$K38+M28*$K39+M29*$K40</f>
        <v>0</v>
      </c>
      <c r="N41" s="10">
        <f t="shared" ref="N41:Y41" si="18">N20*$K31+N21*$K32+N22*$K33+N23*$K34+N24*$K35+N25*$K36+N26*$K37+N27*$K38+N28*$K39+N29*$K40</f>
        <v>1482.3148577214502</v>
      </c>
      <c r="O41" s="10">
        <f t="shared" si="18"/>
        <v>2738.9485606340982</v>
      </c>
      <c r="P41" s="10">
        <f t="shared" si="18"/>
        <v>4115.2616638241416</v>
      </c>
      <c r="Q41" s="10">
        <f t="shared" si="18"/>
        <v>5606.125050136834</v>
      </c>
      <c r="R41" s="10">
        <f t="shared" si="18"/>
        <v>7197.8610738261887</v>
      </c>
      <c r="S41" s="10">
        <f t="shared" si="18"/>
        <v>8917.8250263841801</v>
      </c>
      <c r="T41" s="10">
        <f t="shared" si="18"/>
        <v>10777.984847838548</v>
      </c>
      <c r="U41" s="10">
        <f t="shared" si="18"/>
        <v>12747.565835260822</v>
      </c>
      <c r="V41" s="10">
        <f t="shared" si="18"/>
        <v>14874.439748761955</v>
      </c>
      <c r="W41" s="10">
        <f t="shared" si="18"/>
        <v>17100.476593921507</v>
      </c>
      <c r="X41" s="10">
        <f t="shared" si="18"/>
        <v>19499.193716624148</v>
      </c>
      <c r="Y41" s="10">
        <f t="shared" si="18"/>
        <v>21979.976713802724</v>
      </c>
      <c r="AQ41">
        <v>18</v>
      </c>
      <c r="AR41" s="14">
        <v>4.6967611475307907</v>
      </c>
      <c r="AS41" s="13">
        <f t="shared" si="16"/>
        <v>45978.226528001571</v>
      </c>
      <c r="AT41" s="9">
        <v>3.6812712162412597</v>
      </c>
      <c r="AU41" s="13">
        <f t="shared" si="17"/>
        <v>36037.242809406212</v>
      </c>
    </row>
    <row r="42" spans="1:47" x14ac:dyDescent="0.35">
      <c r="A42">
        <f t="shared" si="12"/>
        <v>19</v>
      </c>
      <c r="B42" s="13">
        <f t="shared" si="13"/>
        <v>45974.24097538081</v>
      </c>
      <c r="F42">
        <f t="shared" si="14"/>
        <v>19</v>
      </c>
      <c r="G42" s="13">
        <f t="shared" si="15"/>
        <v>36023.892454069784</v>
      </c>
      <c r="AQ42">
        <v>19</v>
      </c>
      <c r="AR42" s="14">
        <v>4.6963540159358121</v>
      </c>
      <c r="AS42" s="13">
        <f t="shared" si="16"/>
        <v>45974.24097538081</v>
      </c>
      <c r="AT42" s="9">
        <v>3.6799074526734827</v>
      </c>
      <c r="AU42" s="13">
        <f t="shared" si="17"/>
        <v>36023.892454069784</v>
      </c>
    </row>
    <row r="43" spans="1:47" x14ac:dyDescent="0.35">
      <c r="A43">
        <f t="shared" si="12"/>
        <v>20</v>
      </c>
      <c r="B43" s="13">
        <f t="shared" si="13"/>
        <v>45969.997768726993</v>
      </c>
      <c r="F43">
        <f t="shared" si="14"/>
        <v>20</v>
      </c>
      <c r="G43" s="13">
        <f t="shared" si="15"/>
        <v>36010.329546564732</v>
      </c>
      <c r="AQ43">
        <v>20</v>
      </c>
      <c r="AR43" s="14">
        <v>4.6959205645033073</v>
      </c>
      <c r="AS43" s="13">
        <f t="shared" si="16"/>
        <v>45969.997768726993</v>
      </c>
      <c r="AT43" s="9">
        <v>3.6785219765073132</v>
      </c>
      <c r="AU43" s="13">
        <f t="shared" si="17"/>
        <v>36010.329546564732</v>
      </c>
    </row>
    <row r="44" spans="1:47" x14ac:dyDescent="0.35">
      <c r="A44">
        <f t="shared" si="12"/>
        <v>21</v>
      </c>
      <c r="B44" s="13">
        <f t="shared" si="13"/>
        <v>45965.494383836747</v>
      </c>
      <c r="F44">
        <f t="shared" si="14"/>
        <v>21</v>
      </c>
      <c r="G44" s="13">
        <f t="shared" si="15"/>
        <v>35996.561588756944</v>
      </c>
      <c r="I44" s="1" t="s">
        <v>38</v>
      </c>
      <c r="K44" s="1" t="s">
        <v>81</v>
      </c>
      <c r="L44" s="4" t="s">
        <v>78</v>
      </c>
      <c r="M44" s="1">
        <v>0</v>
      </c>
      <c r="N44" s="1">
        <v>8.0000000000000002E-3</v>
      </c>
      <c r="O44" s="1">
        <v>1.4E-2</v>
      </c>
      <c r="P44" s="1">
        <v>0.02</v>
      </c>
      <c r="Q44" s="1">
        <v>2.5999999999999999E-2</v>
      </c>
      <c r="R44" s="1">
        <v>3.2000000000000001E-2</v>
      </c>
      <c r="S44" s="1">
        <v>3.7999999999999999E-2</v>
      </c>
      <c r="T44" s="1">
        <v>4.3999999999999997E-2</v>
      </c>
      <c r="U44" s="1">
        <v>0.05</v>
      </c>
      <c r="V44" s="1">
        <v>5.6000000000000001E-2</v>
      </c>
      <c r="W44" s="1">
        <v>6.2E-2</v>
      </c>
      <c r="X44" s="1">
        <v>6.8000000000000005E-2</v>
      </c>
      <c r="Y44" s="1">
        <v>7.3999999999999996E-2</v>
      </c>
      <c r="AQ44">
        <v>21</v>
      </c>
      <c r="AR44" s="14">
        <v>4.6954605353812191</v>
      </c>
      <c r="AS44" s="13">
        <f t="shared" si="16"/>
        <v>45965.494383836747</v>
      </c>
      <c r="AT44" s="9">
        <v>3.6771155540722704</v>
      </c>
      <c r="AU44" s="13">
        <f t="shared" si="17"/>
        <v>35996.561588756944</v>
      </c>
    </row>
    <row r="45" spans="1:47" x14ac:dyDescent="0.35">
      <c r="A45">
        <f t="shared" si="12"/>
        <v>22</v>
      </c>
      <c r="B45" s="13">
        <f t="shared" si="13"/>
        <v>45960.728396826387</v>
      </c>
      <c r="F45">
        <f t="shared" si="14"/>
        <v>22</v>
      </c>
      <c r="G45" s="13">
        <f t="shared" si="15"/>
        <v>35982.595470087545</v>
      </c>
      <c r="I45" s="1">
        <v>1</v>
      </c>
      <c r="J45" t="s">
        <v>13</v>
      </c>
      <c r="K45" s="4">
        <v>1</v>
      </c>
      <c r="L45" s="4" t="s">
        <v>12</v>
      </c>
      <c r="M45" s="1">
        <v>0</v>
      </c>
      <c r="N45" s="10">
        <f>413*(991.8/$M$16)*($O$16/0.65)*$K45</f>
        <v>459.10823253357012</v>
      </c>
      <c r="O45" s="10">
        <f>1276*(991.8/$M$16)*($O$16/0.65)*$K45</f>
        <v>1418.4554593531125</v>
      </c>
      <c r="P45" s="10">
        <f>2505*(991.8/$M$16)*($O$16/0.65)*$K45</f>
        <v>2784.6637348585787</v>
      </c>
      <c r="Q45" s="10">
        <f>4102*(991.8/$M$16)*($O$16/0.65)*$K45</f>
        <v>4559.9563434690181</v>
      </c>
      <c r="R45" s="10">
        <f>6065*(991.8/$M$16)*($O$16/0.65)*$K45</f>
        <v>6742.1100007653813</v>
      </c>
      <c r="S45" s="10">
        <f>8395*(991.8/$M$16)*($O$16/0.65)*$K45</f>
        <v>9332.2363489571944</v>
      </c>
      <c r="T45" s="10">
        <f>11091*(991.8/$M$16)*($O$16/0.65)*$K45</f>
        <v>12329.22374583493</v>
      </c>
      <c r="U45" s="10">
        <f>14155*(991.8/$M$16)*($O$16/0.65)*$K45</f>
        <v>15735.295475817638</v>
      </c>
      <c r="V45" s="10">
        <f>17586*(991.8/$M$16)*($O$16/0.65)*$K45</f>
        <v>19549.339896695798</v>
      </c>
      <c r="W45" s="10">
        <f>21383*(991.8/$M$16)*($O$16/0.65)*$K45</f>
        <v>23770.245366259875</v>
      </c>
      <c r="X45" s="10">
        <f>25547*(991.8/$M$16)*($O$16/0.65)*$K45</f>
        <v>28399.123526719406</v>
      </c>
      <c r="Y45" s="10">
        <f>30077*(991.8/$M$16)*($O$16/0.65)*$K45</f>
        <v>33434.862735864859</v>
      </c>
      <c r="AQ45">
        <v>22</v>
      </c>
      <c r="AR45" s="14">
        <v>4.6949736809653295</v>
      </c>
      <c r="AS45" s="13">
        <f t="shared" si="16"/>
        <v>45960.728396826387</v>
      </c>
      <c r="AT45" s="9">
        <v>3.6756888891375481</v>
      </c>
      <c r="AU45" s="13">
        <f t="shared" si="17"/>
        <v>35982.595470087545</v>
      </c>
    </row>
    <row r="46" spans="1:47" x14ac:dyDescent="0.35">
      <c r="A46">
        <f t="shared" si="12"/>
        <v>23</v>
      </c>
      <c r="B46" s="13">
        <f t="shared" si="13"/>
        <v>45955.697475634348</v>
      </c>
      <c r="F46">
        <f t="shared" si="14"/>
        <v>23</v>
      </c>
      <c r="G46" s="13">
        <f t="shared" si="15"/>
        <v>35968.437543370579</v>
      </c>
      <c r="I46" s="1">
        <v>2</v>
      </c>
      <c r="J46" t="s">
        <v>14</v>
      </c>
      <c r="K46" s="4">
        <v>1</v>
      </c>
      <c r="L46" s="4" t="s">
        <v>12</v>
      </c>
      <c r="M46" s="1">
        <v>0</v>
      </c>
      <c r="N46" s="10">
        <f>1724*(993.6/$M$16)*($O$16/0.71)*$K46</f>
        <v>1757.7000984538963</v>
      </c>
      <c r="O46" s="10">
        <f>3479*(994.4/$M$16)*($O$16/0.74)*$K46</f>
        <v>3405.9487291589935</v>
      </c>
      <c r="P46" s="10">
        <f>5496*(994.4/$M$16)*($O$16/0.74)*$K46</f>
        <v>5380.5962102494477</v>
      </c>
      <c r="Q46" s="10">
        <f>7775*(994.4/$M$16)*($O$16/0.74)*$K46</f>
        <v>7611.7422734151123</v>
      </c>
      <c r="R46" s="10">
        <f>10316*(994.4/$M$16)*($O$16/0.74)*$K46</f>
        <v>10099.386918655988</v>
      </c>
      <c r="S46" s="10">
        <f>13119*(994.4/$M$16)*($O$16/0.74)*$K46</f>
        <v>12843.530145972072</v>
      </c>
      <c r="T46" s="10">
        <f>16185*(994.4/$M$16)*($O$16/0.74)*$K46</f>
        <v>15845.150957585029</v>
      </c>
      <c r="U46" s="10">
        <f>19512*(994.4/$M$16)*($O$16/0.74)*$K46</f>
        <v>19102.291349051535</v>
      </c>
      <c r="V46" s="10">
        <f>23101*(994.4/$M$16)*($O$16/0.74)*$K46</f>
        <v>22615.930322593249</v>
      </c>
      <c r="W46" s="10">
        <f>26953*(994.4/$M$16)*($O$16/0.74)*$K46</f>
        <v>26387.046880431837</v>
      </c>
      <c r="X46" s="10">
        <f>31066*(994.4/$M$16)*($O$16/0.74)*$K46</f>
        <v>30413.683018123971</v>
      </c>
      <c r="Y46" s="10">
        <f>35442*(994.4/$M$16)*($O$16/0.74)*$K46</f>
        <v>34697.796740112979</v>
      </c>
      <c r="AQ46">
        <v>23</v>
      </c>
      <c r="AR46" s="14">
        <v>4.694459763031225</v>
      </c>
      <c r="AS46" s="13">
        <f t="shared" si="16"/>
        <v>45955.697475634348</v>
      </c>
      <c r="AT46" s="9">
        <v>3.6742426306548865</v>
      </c>
      <c r="AU46" s="13">
        <f t="shared" si="17"/>
        <v>35968.437543370579</v>
      </c>
    </row>
    <row r="47" spans="1:47" x14ac:dyDescent="0.35">
      <c r="A47">
        <f t="shared" si="12"/>
        <v>24</v>
      </c>
      <c r="B47" s="13">
        <f t="shared" si="13"/>
        <v>45950.399372591812</v>
      </c>
      <c r="F47">
        <f t="shared" si="14"/>
        <v>24</v>
      </c>
      <c r="G47" s="13">
        <f t="shared" si="15"/>
        <v>35954.093688293797</v>
      </c>
      <c r="I47" s="1">
        <v>3</v>
      </c>
      <c r="J47" t="s">
        <v>15</v>
      </c>
      <c r="K47" s="4">
        <v>1</v>
      </c>
      <c r="L47" s="4" t="s">
        <v>12</v>
      </c>
      <c r="M47" s="1">
        <v>0</v>
      </c>
      <c r="N47" s="10">
        <f>1448*(993.6/$M$16)*($O$16/0.71)*$K47</f>
        <v>1476.3049550819269</v>
      </c>
      <c r="O47" s="10">
        <f>2984*(994.4/$M$16)*($O$16/0.74)*$K47</f>
        <v>2921.3426294367455</v>
      </c>
      <c r="P47" s="10">
        <f>4764*(994.4/$M$16)*($O$16/0.74)*$K47</f>
        <v>4663.9665839935169</v>
      </c>
      <c r="Q47" s="10">
        <f>6788*(994.4/$M$16)*($O$16/0.74)*$K47</f>
        <v>6645.4670806355998</v>
      </c>
      <c r="R47" s="10">
        <f>9056*(994.4/$M$16)*($O$16/0.74)*$K47</f>
        <v>8865.8441193629915</v>
      </c>
      <c r="S47" s="10">
        <f>11569*(994.4/$M$16)*($O$16/0.74)*$K47</f>
        <v>11326.076702397355</v>
      </c>
      <c r="T47" s="10">
        <f>14326*(994.4/$M$16)*($O$16/0.74)*$K47</f>
        <v>14025.185827517029</v>
      </c>
      <c r="U47" s="10">
        <f>17327*(994.4/$M$16)*($O$16/0.74)*$K47</f>
        <v>16963.171494722013</v>
      </c>
      <c r="V47" s="10">
        <f>20573*(994.4/$M$16)*($O$16/0.74)*$K47</f>
        <v>20141.012706233967</v>
      </c>
      <c r="W47" s="10">
        <f>24063*(994.4/$M$16)*($O$16/0.74)*$K47</f>
        <v>23557.730459831233</v>
      </c>
      <c r="X47" s="10">
        <f>27797*(994.4/$M$16)*($O$16/0.74)*$K47</f>
        <v>27213.324755513811</v>
      </c>
      <c r="Y47" s="10">
        <f>31776*(994.4/$M$16)*($O$16/0.74)*$K47</f>
        <v>31108.774595503361</v>
      </c>
      <c r="AQ47">
        <v>24</v>
      </c>
      <c r="AR47" s="14">
        <v>4.693918551975365</v>
      </c>
      <c r="AS47" s="13">
        <f t="shared" si="16"/>
        <v>45950.399372591812</v>
      </c>
      <c r="AT47" s="9">
        <v>3.6727773792453</v>
      </c>
      <c r="AU47" s="13">
        <f t="shared" si="17"/>
        <v>35954.093688293797</v>
      </c>
    </row>
    <row r="48" spans="1:47" x14ac:dyDescent="0.35">
      <c r="A48">
        <f t="shared" si="12"/>
        <v>25</v>
      </c>
      <c r="B48" s="13">
        <f t="shared" si="13"/>
        <v>45944.831917886906</v>
      </c>
      <c r="F48">
        <f t="shared" si="14"/>
        <v>25</v>
      </c>
      <c r="G48" s="13">
        <f t="shared" si="15"/>
        <v>35939.569365051284</v>
      </c>
      <c r="I48" s="1">
        <v>4</v>
      </c>
      <c r="J48" t="s">
        <v>16</v>
      </c>
      <c r="K48" s="4">
        <v>1</v>
      </c>
      <c r="L48" s="4" t="s">
        <v>12</v>
      </c>
      <c r="M48" s="1">
        <v>0</v>
      </c>
      <c r="N48" s="10">
        <f>453*(993.6/$M$16)*($O$16/0.71)*$K48</f>
        <v>461.85507227355868</v>
      </c>
      <c r="O48" s="10">
        <f>993*(994.4/$M$16)*($O$16/0.74)*$K48</f>
        <v>972.14920610948002</v>
      </c>
      <c r="P48" s="10">
        <f>1697*(994.4/$M$16)*($O$16/0.74)*$K48</f>
        <v>1661.3667701589</v>
      </c>
      <c r="Q48" s="10">
        <f>2566*(994.4/$M$16)*($O$16/0.74)*$K48</f>
        <v>2512.1197007824026</v>
      </c>
      <c r="R48" s="10">
        <f>3600*(994.4/$M$16)*($O$16/0.74)*$K48</f>
        <v>3524.4079979799881</v>
      </c>
      <c r="S48" s="10">
        <f>4799*(994.4/$M$16)*($O$16/0.74)*$K48</f>
        <v>4698.2316617516562</v>
      </c>
      <c r="T48" s="10">
        <f>6163*(994.4/$M$16)*($O$16/0.74)*$K48</f>
        <v>6033.5906920974076</v>
      </c>
      <c r="U48" s="10">
        <f>7691*(994.4/$M$16)*($O$16/0.74)*$K48</f>
        <v>7529.5060867955799</v>
      </c>
      <c r="V48" s="10">
        <f>9385*(994.4/$M$16)*($O$16/0.74)*$K48</f>
        <v>9187.9358502894956</v>
      </c>
      <c r="W48" s="10">
        <f>11243*(994.4/$M$16)*($O$16/0.74)*$K48</f>
        <v>11006.921978135835</v>
      </c>
      <c r="X48" s="10">
        <f>13266*(994.4/$M$16)*($O$16/0.74)*$K48</f>
        <v>12987.443472556255</v>
      </c>
      <c r="Y48" s="10">
        <f>15453*(994.4/$M$16)*($O$16/0.74)*$K48</f>
        <v>15128.521331329097</v>
      </c>
      <c r="AQ48">
        <v>25</v>
      </c>
      <c r="AR48" s="14">
        <v>4.6933498261474407</v>
      </c>
      <c r="AS48" s="13">
        <f t="shared" si="16"/>
        <v>45944.831917886906</v>
      </c>
      <c r="AT48" s="9">
        <v>3.6712936926777449</v>
      </c>
      <c r="AU48" s="13">
        <f t="shared" si="17"/>
        <v>35939.569365051284</v>
      </c>
    </row>
    <row r="49" spans="1:47" x14ac:dyDescent="0.35">
      <c r="A49">
        <f t="shared" si="12"/>
        <v>26</v>
      </c>
      <c r="B49" s="13">
        <f t="shared" si="13"/>
        <v>45938.993013782972</v>
      </c>
      <c r="F49">
        <f t="shared" si="14"/>
        <v>26</v>
      </c>
      <c r="G49" s="13">
        <f t="shared" si="15"/>
        <v>35924.869659977769</v>
      </c>
      <c r="I49" s="1">
        <v>5</v>
      </c>
      <c r="J49" t="s">
        <v>17</v>
      </c>
      <c r="K49" s="4">
        <v>1</v>
      </c>
      <c r="L49" s="4" t="s">
        <v>12</v>
      </c>
      <c r="M49" s="1">
        <v>0</v>
      </c>
      <c r="N49" s="10">
        <f>419*(993.6/$M$16)*($O$16/0.71)*$K49</f>
        <v>427.19045316251896</v>
      </c>
      <c r="O49" s="10">
        <f>935*(994.4/$M$16)*($O$16/0.74)*$K49</f>
        <v>915.36707725313579</v>
      </c>
      <c r="P49" s="10">
        <f>1563*(994.4/$M$16)*($O$16/0.74)*$K49</f>
        <v>1530.1804724563112</v>
      </c>
      <c r="Q49" s="10">
        <f>2301*(994.4/$M$16)*($O$16/0.74)*$K49</f>
        <v>2252.6841120422087</v>
      </c>
      <c r="R49" s="10">
        <f>3150*(994.4/$M$16)*($O$16/0.74)*$K49</f>
        <v>3083.8569982324893</v>
      </c>
      <c r="S49" s="10">
        <f>4110*(994.4/$M$16)*($O$16/0.74)*$K49</f>
        <v>4023.6991310271528</v>
      </c>
      <c r="T49" s="10">
        <f>5181*(994.4/$M$16)*($O$16/0.74)*$K49</f>
        <v>5072.2105104261991</v>
      </c>
      <c r="U49" s="10">
        <f>6362*(994.4/$M$16)*($O$16/0.74)*$K49</f>
        <v>6228.412134207967</v>
      </c>
      <c r="V49" s="10">
        <f>7654*(994.4/$M$16)*($O$16/0.74)*$K49</f>
        <v>7493.2830045941191</v>
      </c>
      <c r="W49" s="10">
        <f>9057*(994.4/$M$16)*($O$16/0.74)*$K49</f>
        <v>8866.8231215846517</v>
      </c>
      <c r="X49" s="10">
        <f>10570*(994.4/$M$16)*($O$16/0.74)*$K49</f>
        <v>10348.053482957908</v>
      </c>
      <c r="Y49" s="10">
        <f>12195*(994.4/$M$16)*($O$16/0.74)*$K49</f>
        <v>11938.932093157207</v>
      </c>
      <c r="AQ49">
        <v>26</v>
      </c>
      <c r="AR49" s="14">
        <v>4.6927533712597604</v>
      </c>
      <c r="AS49" s="13">
        <f t="shared" si="16"/>
        <v>45938.993013782972</v>
      </c>
      <c r="AT49" s="9">
        <v>3.6697920905307506</v>
      </c>
      <c r="AU49" s="13">
        <f t="shared" si="17"/>
        <v>35924.869659977769</v>
      </c>
    </row>
    <row r="50" spans="1:47" x14ac:dyDescent="0.35">
      <c r="A50">
        <f t="shared" si="12"/>
        <v>27</v>
      </c>
      <c r="B50" s="13">
        <f t="shared" si="13"/>
        <v>45932.880629477251</v>
      </c>
      <c r="F50">
        <f t="shared" si="14"/>
        <v>27</v>
      </c>
      <c r="G50" s="13">
        <f t="shared" si="15"/>
        <v>35909.999324641685</v>
      </c>
      <c r="I50" s="1">
        <v>6</v>
      </c>
      <c r="J50" t="s">
        <v>18</v>
      </c>
      <c r="K50" s="4">
        <v>1</v>
      </c>
      <c r="L50" s="4" t="s">
        <v>12</v>
      </c>
      <c r="M50" s="1">
        <v>0</v>
      </c>
      <c r="N50" s="10">
        <f>561*(993.6/$M$16)*($O$16/0.71)*$K50</f>
        <v>571.96621533215534</v>
      </c>
      <c r="O50" s="10">
        <f>1275*(994.4/$M$16)*($O$16/0.74)*$K50</f>
        <v>1248.2278326179123</v>
      </c>
      <c r="P50" s="10">
        <f>2253*(994.4/$M$16)*($O$16/0.74)*$K50</f>
        <v>2205.6920054024758</v>
      </c>
      <c r="Q50" s="10">
        <f>3494*(994.4/$M$16)*($O$16/0.74)*$K50</f>
        <v>3420.6337624839107</v>
      </c>
      <c r="R50" s="10">
        <f>5000*(994.4/$M$16)*($O$16/0.74)*$K50</f>
        <v>4895.0111083055381</v>
      </c>
      <c r="S50" s="10">
        <f>6768*(994.4/$M$16)*($O$16/0.74)*$K50</f>
        <v>6625.8870362023772</v>
      </c>
      <c r="T50" s="10">
        <f>8800*(994.4/$M$16)*($O$16/0.74)*$K50</f>
        <v>8615.2195506177486</v>
      </c>
      <c r="U50" s="10">
        <f>11086*(994.4/$M$16)*($O$16/0.74)*$K50</f>
        <v>10853.218629335041</v>
      </c>
      <c r="V50" s="10">
        <f>13655*(994.4/$M$16)*($O$16/0.74)*$K50</f>
        <v>13368.275336782426</v>
      </c>
      <c r="W50" s="10">
        <f>16478*(994.4/$M$16)*($O$16/0.74)*$K50</f>
        <v>16131.998608531734</v>
      </c>
      <c r="X50" s="10">
        <f>19564*(994.4/$M$16)*($O$16/0.74)*$K50</f>
        <v>19153.199464577912</v>
      </c>
      <c r="Y50" s="10">
        <f>22914*(994.4/$M$16)*($O$16/0.74)*$K50</f>
        <v>22432.856907142621</v>
      </c>
      <c r="AQ50">
        <v>27</v>
      </c>
      <c r="AR50" s="14">
        <v>4.692128979862054</v>
      </c>
      <c r="AS50" s="13">
        <f t="shared" si="16"/>
        <v>45932.880629477251</v>
      </c>
      <c r="AT50" s="9">
        <v>3.6682730581858483</v>
      </c>
      <c r="AU50" s="13">
        <f t="shared" si="17"/>
        <v>35909.999324641685</v>
      </c>
    </row>
    <row r="51" spans="1:47" x14ac:dyDescent="0.35">
      <c r="A51">
        <f t="shared" si="12"/>
        <v>28</v>
      </c>
      <c r="B51" s="13">
        <f t="shared" si="13"/>
        <v>45926.492796507664</v>
      </c>
      <c r="F51">
        <f t="shared" si="14"/>
        <v>28</v>
      </c>
      <c r="G51" s="13">
        <f t="shared" si="15"/>
        <v>35894.962809543773</v>
      </c>
      <c r="I51" s="1">
        <v>7</v>
      </c>
      <c r="J51" t="s">
        <v>19</v>
      </c>
      <c r="K51" s="4">
        <v>1</v>
      </c>
      <c r="L51" s="4" t="s">
        <v>12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AQ51">
        <v>28</v>
      </c>
      <c r="AR51" s="14">
        <v>4.6914764508722673</v>
      </c>
      <c r="AS51" s="13">
        <f t="shared" si="16"/>
        <v>45926.492796507664</v>
      </c>
      <c r="AT51" s="9">
        <v>3.6667370502699468</v>
      </c>
      <c r="AU51" s="13">
        <f t="shared" si="17"/>
        <v>35894.962809543773</v>
      </c>
    </row>
    <row r="52" spans="1:47" x14ac:dyDescent="0.35">
      <c r="A52">
        <f t="shared" si="12"/>
        <v>29</v>
      </c>
      <c r="B52" s="13">
        <f t="shared" si="13"/>
        <v>45919.827604631144</v>
      </c>
      <c r="F52">
        <f t="shared" si="14"/>
        <v>29</v>
      </c>
      <c r="G52" s="13">
        <f t="shared" si="15"/>
        <v>35879.764293333137</v>
      </c>
      <c r="I52" s="1">
        <v>8</v>
      </c>
      <c r="J52" t="s">
        <v>20</v>
      </c>
      <c r="K52" s="4">
        <v>1</v>
      </c>
      <c r="L52" s="4" t="s">
        <v>12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AQ52">
        <v>29</v>
      </c>
      <c r="AR52" s="14">
        <v>4.6907955891555284</v>
      </c>
      <c r="AS52" s="13">
        <f t="shared" si="16"/>
        <v>45919.827604631144</v>
      </c>
      <c r="AT52" s="9">
        <v>3.6651844936398037</v>
      </c>
      <c r="AU52" s="13">
        <f t="shared" si="17"/>
        <v>35879.764293333137</v>
      </c>
    </row>
    <row r="53" spans="1:47" x14ac:dyDescent="0.35">
      <c r="A53">
        <f t="shared" si="12"/>
        <v>30</v>
      </c>
      <c r="B53" s="13">
        <f t="shared" si="13"/>
        <v>45912.883198110372</v>
      </c>
      <c r="F53">
        <f t="shared" si="14"/>
        <v>30</v>
      </c>
      <c r="G53" s="13">
        <f t="shared" si="15"/>
        <v>35864.407708271923</v>
      </c>
      <c r="I53" s="1">
        <v>9</v>
      </c>
      <c r="J53" t="s">
        <v>21</v>
      </c>
      <c r="K53" s="4">
        <v>1</v>
      </c>
      <c r="L53" s="4" t="s">
        <v>12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AQ53">
        <v>30</v>
      </c>
      <c r="AR53" s="14">
        <v>4.6900862051448255</v>
      </c>
      <c r="AS53" s="13">
        <f t="shared" si="16"/>
        <v>45912.883198110372</v>
      </c>
      <c r="AT53" s="9">
        <v>3.6636157899832957</v>
      </c>
      <c r="AU53" s="13">
        <f t="shared" si="17"/>
        <v>35864.407708271923</v>
      </c>
    </row>
    <row r="54" spans="1:47" x14ac:dyDescent="0.35">
      <c r="A54">
        <f t="shared" si="12"/>
        <v>31</v>
      </c>
      <c r="B54" s="13">
        <f t="shared" si="13"/>
        <v>45905.657772355647</v>
      </c>
      <c r="F54">
        <f t="shared" si="14"/>
        <v>31</v>
      </c>
      <c r="G54" s="13">
        <f t="shared" si="15"/>
        <v>35848.896762540295</v>
      </c>
      <c r="I54" s="1">
        <v>10</v>
      </c>
      <c r="J54" t="s">
        <v>28</v>
      </c>
      <c r="K54" s="4">
        <v>1</v>
      </c>
      <c r="L54" s="4" t="s">
        <v>12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AQ54">
        <v>31</v>
      </c>
      <c r="AR54" s="14">
        <v>4.6893481144979736</v>
      </c>
      <c r="AS54" s="13">
        <f t="shared" si="16"/>
        <v>45905.657772355647</v>
      </c>
      <c r="AT54" s="9">
        <v>3.6620313180979038</v>
      </c>
      <c r="AU54" s="13">
        <f t="shared" si="17"/>
        <v>35848.896762540295</v>
      </c>
    </row>
    <row r="55" spans="1:47" x14ac:dyDescent="0.35">
      <c r="A55">
        <f t="shared" si="12"/>
        <v>32</v>
      </c>
      <c r="B55" s="13">
        <f t="shared" si="13"/>
        <v>45898.149570877569</v>
      </c>
      <c r="F55">
        <f t="shared" si="14"/>
        <v>32</v>
      </c>
      <c r="G55" s="13">
        <f t="shared" si="15"/>
        <v>35833.234959863359</v>
      </c>
      <c r="K55" s="4"/>
      <c r="L55" s="4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AQ55">
        <v>32</v>
      </c>
      <c r="AR55" s="14">
        <v>4.6885811377863211</v>
      </c>
      <c r="AS55" s="13">
        <f t="shared" si="16"/>
        <v>45898.149570877569</v>
      </c>
      <c r="AT55" s="9">
        <v>3.6604314358956507</v>
      </c>
      <c r="AU55" s="13">
        <f t="shared" si="17"/>
        <v>35833.234959863359</v>
      </c>
    </row>
    <row r="56" spans="1:47" x14ac:dyDescent="0.35">
      <c r="A56">
        <f t="shared" si="12"/>
        <v>33</v>
      </c>
      <c r="B56" s="13">
        <f t="shared" si="13"/>
        <v>45890.356882512671</v>
      </c>
      <c r="F56">
        <f t="shared" si="14"/>
        <v>33</v>
      </c>
      <c r="G56" s="13">
        <f t="shared" si="15"/>
        <v>35817.425616856075</v>
      </c>
      <c r="J56" t="s">
        <v>39</v>
      </c>
      <c r="K56" s="4">
        <v>0</v>
      </c>
      <c r="L56" s="4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AQ56">
        <v>33</v>
      </c>
      <c r="AR56" s="14">
        <v>4.6877851002113449</v>
      </c>
      <c r="AS56" s="13">
        <f t="shared" si="16"/>
        <v>45890.356882512671</v>
      </c>
      <c r="AT56" s="9">
        <v>3.658816482174907</v>
      </c>
      <c r="AU56" s="13">
        <f t="shared" si="17"/>
        <v>35817.425616856075</v>
      </c>
    </row>
    <row r="57" spans="1:47" x14ac:dyDescent="0.35">
      <c r="A57">
        <f t="shared" si="12"/>
        <v>34</v>
      </c>
      <c r="B57" s="13">
        <f t="shared" si="13"/>
        <v>45882.278038889846</v>
      </c>
      <c r="F57">
        <f t="shared" si="14"/>
        <v>34</v>
      </c>
      <c r="G57" s="13">
        <f t="shared" si="15"/>
        <v>35801.471878412689</v>
      </c>
      <c r="J57" t="s">
        <v>40</v>
      </c>
      <c r="K57" s="4">
        <v>1</v>
      </c>
      <c r="L57" s="4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AQ57">
        <v>34</v>
      </c>
      <c r="AR57" s="14">
        <v>4.6869598313458409</v>
      </c>
      <c r="AS57" s="13">
        <f t="shared" si="16"/>
        <v>45882.278038889846</v>
      </c>
      <c r="AT57" s="9">
        <v>3.6571867781924552</v>
      </c>
      <c r="AU57" s="13">
        <f t="shared" si="17"/>
        <v>35801.471878412689</v>
      </c>
    </row>
    <row r="58" spans="1:47" x14ac:dyDescent="0.35">
      <c r="A58">
        <f t="shared" si="12"/>
        <v>35</v>
      </c>
      <c r="B58" s="13">
        <f t="shared" si="13"/>
        <v>45873.911412110108</v>
      </c>
      <c r="F58">
        <f t="shared" si="14"/>
        <v>35</v>
      </c>
      <c r="G58" s="13">
        <f t="shared" si="15"/>
        <v>35785.376731412667</v>
      </c>
      <c r="J58" t="s">
        <v>41</v>
      </c>
      <c r="K58" s="4">
        <v>0</v>
      </c>
      <c r="L58" s="4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AQ58">
        <v>35</v>
      </c>
      <c r="AR58" s="14">
        <v>4.6861051648969063</v>
      </c>
      <c r="AS58" s="13">
        <f t="shared" si="16"/>
        <v>45873.911412110108</v>
      </c>
      <c r="AT58" s="9">
        <v>3.6555426290635742</v>
      </c>
      <c r="AU58" s="13">
        <f t="shared" si="17"/>
        <v>35785.376731412667</v>
      </c>
    </row>
    <row r="59" spans="1:47" x14ac:dyDescent="0.35">
      <c r="A59">
        <f t="shared" si="12"/>
        <v>36</v>
      </c>
      <c r="B59" s="13">
        <f t="shared" si="13"/>
        <v>45865.255412615996</v>
      </c>
      <c r="F59">
        <f t="shared" si="14"/>
        <v>36</v>
      </c>
      <c r="G59" s="13">
        <f t="shared" si="15"/>
        <v>35769.143016970331</v>
      </c>
      <c r="J59" t="s">
        <v>42</v>
      </c>
      <c r="K59" s="4">
        <v>0</v>
      </c>
      <c r="L59" s="4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AQ59">
        <v>36</v>
      </c>
      <c r="AR59" s="14">
        <v>4.6852209384882988</v>
      </c>
      <c r="AS59" s="13">
        <f t="shared" si="16"/>
        <v>45865.255412615996</v>
      </c>
      <c r="AT59" s="9">
        <v>3.6538843250133635</v>
      </c>
      <c r="AU59" s="13">
        <f t="shared" si="17"/>
        <v>35769.143016970331</v>
      </c>
    </row>
    <row r="60" spans="1:47" x14ac:dyDescent="0.35">
      <c r="A60">
        <f t="shared" si="12"/>
        <v>37</v>
      </c>
      <c r="B60" s="13">
        <f t="shared" si="13"/>
        <v>45856.308487230286</v>
      </c>
      <c r="F60">
        <f t="shared" si="14"/>
        <v>37</v>
      </c>
      <c r="G60" s="13">
        <f t="shared" si="15"/>
        <v>35752.77344141926</v>
      </c>
      <c r="J60" t="s">
        <v>43</v>
      </c>
      <c r="K60" s="4">
        <v>0</v>
      </c>
      <c r="L60" s="4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AQ60">
        <v>37</v>
      </c>
      <c r="AR60" s="14">
        <v>4.6843069934600834</v>
      </c>
      <c r="AS60" s="13">
        <f t="shared" si="16"/>
        <v>45856.308487230286</v>
      </c>
      <c r="AT60" s="9">
        <v>3.6522121424988203</v>
      </c>
      <c r="AU60" s="13">
        <f t="shared" si="17"/>
        <v>35752.77344141926</v>
      </c>
    </row>
    <row r="61" spans="1:47" x14ac:dyDescent="0.35">
      <c r="A61">
        <f t="shared" si="12"/>
        <v>38</v>
      </c>
      <c r="B61" s="13">
        <f t="shared" si="13"/>
        <v>45847.069117346211</v>
      </c>
      <c r="F61">
        <f t="shared" si="14"/>
        <v>38</v>
      </c>
      <c r="G61" s="13">
        <f t="shared" si="15"/>
        <v>35736.270586193095</v>
      </c>
      <c r="J61" t="s">
        <v>44</v>
      </c>
      <c r="K61" s="4">
        <v>1</v>
      </c>
      <c r="L61" s="4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AQ61">
        <v>38</v>
      </c>
      <c r="AR61" s="14">
        <v>4.6833631746837598</v>
      </c>
      <c r="AS61" s="13">
        <f t="shared" si="16"/>
        <v>45847.069117346211</v>
      </c>
      <c r="AT61" s="9">
        <v>3.6505263452181795</v>
      </c>
      <c r="AU61" s="13">
        <f t="shared" si="17"/>
        <v>35736.270586193095</v>
      </c>
    </row>
    <row r="62" spans="1:47" x14ac:dyDescent="0.35">
      <c r="A62">
        <f t="shared" si="12"/>
        <v>39</v>
      </c>
      <c r="B62" s="13">
        <f t="shared" si="13"/>
        <v>45837.5358172536</v>
      </c>
      <c r="F62">
        <f t="shared" si="14"/>
        <v>39</v>
      </c>
      <c r="G62" s="13">
        <f t="shared" si="15"/>
        <v>35719.636916739713</v>
      </c>
      <c r="J62" t="s">
        <v>45</v>
      </c>
      <c r="K62" s="4">
        <v>0</v>
      </c>
      <c r="L62" s="4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AQ62">
        <v>39</v>
      </c>
      <c r="AR62" s="14">
        <v>4.6823893303912785</v>
      </c>
      <c r="AS62" s="13">
        <f t="shared" si="16"/>
        <v>45837.5358172536</v>
      </c>
      <c r="AT62" s="9">
        <v>3.6488271850215175</v>
      </c>
      <c r="AU62" s="13">
        <f t="shared" si="17"/>
        <v>35719.636916739713</v>
      </c>
    </row>
    <row r="63" spans="1:47" x14ac:dyDescent="0.35">
      <c r="A63">
        <f t="shared" si="12"/>
        <v>40</v>
      </c>
      <c r="B63" s="13">
        <f t="shared" si="13"/>
        <v>45827.707132587791</v>
      </c>
      <c r="F63">
        <f t="shared" si="14"/>
        <v>40</v>
      </c>
      <c r="G63" s="13">
        <f t="shared" si="15"/>
        <v>35702.874790585971</v>
      </c>
      <c r="J63" t="s">
        <v>46</v>
      </c>
      <c r="K63" s="4">
        <v>0</v>
      </c>
      <c r="L63" s="4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AQ63">
        <v>40</v>
      </c>
      <c r="AR63" s="14">
        <v>4.6813853120165891</v>
      </c>
      <c r="AS63" s="13">
        <f t="shared" si="16"/>
        <v>45827.707132587791</v>
      </c>
      <c r="AT63" s="9">
        <v>3.6471149027345757</v>
      </c>
      <c r="AU63" s="13">
        <f t="shared" si="17"/>
        <v>35702.874790585971</v>
      </c>
    </row>
    <row r="64" spans="1:47" x14ac:dyDescent="0.35">
      <c r="A64">
        <f t="shared" si="12"/>
        <v>41</v>
      </c>
      <c r="B64" s="13">
        <f t="shared" si="13"/>
        <v>45817.581638889031</v>
      </c>
      <c r="F64">
        <f t="shared" si="14"/>
        <v>41</v>
      </c>
      <c r="G64" s="13">
        <f t="shared" si="15"/>
        <v>35685.986464653157</v>
      </c>
      <c r="J64" t="s">
        <v>47</v>
      </c>
      <c r="K64" s="4">
        <v>0</v>
      </c>
      <c r="L64" s="4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AQ64">
        <v>41</v>
      </c>
      <c r="AR64" s="14">
        <v>4.680350974048487</v>
      </c>
      <c r="AS64" s="13">
        <f t="shared" si="16"/>
        <v>45817.581638889031</v>
      </c>
      <c r="AT64" s="9">
        <v>3.6453897289060513</v>
      </c>
      <c r="AU64" s="13">
        <f t="shared" si="17"/>
        <v>35685.986464653157</v>
      </c>
    </row>
    <row r="65" spans="1:47" x14ac:dyDescent="0.35">
      <c r="A65">
        <f t="shared" si="12"/>
        <v>42</v>
      </c>
      <c r="B65" s="13">
        <f t="shared" si="13"/>
        <v>45807.157940262274</v>
      </c>
      <c r="F65">
        <f t="shared" si="14"/>
        <v>42</v>
      </c>
      <c r="G65" s="13">
        <f t="shared" si="15"/>
        <v>35668.974101909516</v>
      </c>
      <c r="J65" t="s">
        <v>48</v>
      </c>
      <c r="K65" s="4">
        <v>0</v>
      </c>
      <c r="L65" s="4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AQ65">
        <v>42</v>
      </c>
      <c r="AR65" s="14">
        <v>4.6792861738937033</v>
      </c>
      <c r="AS65" s="13">
        <f t="shared" si="16"/>
        <v>45807.157940262274</v>
      </c>
      <c r="AT65" s="9">
        <v>3.6436518844871633</v>
      </c>
      <c r="AU65" s="13">
        <f t="shared" si="17"/>
        <v>35668.974101909516</v>
      </c>
    </row>
    <row r="66" spans="1:47" x14ac:dyDescent="0.35">
      <c r="A66">
        <f t="shared" si="12"/>
        <v>43</v>
      </c>
      <c r="B66" s="13">
        <f t="shared" si="13"/>
        <v>45796.43466812792</v>
      </c>
      <c r="F66">
        <f t="shared" si="14"/>
        <v>43</v>
      </c>
      <c r="G66" s="13">
        <f t="shared" si="15"/>
        <v>35651.839777434237</v>
      </c>
      <c r="K66" s="4"/>
      <c r="L66" s="4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AQ66">
        <v>43</v>
      </c>
      <c r="AR66" s="14">
        <v>4.678190771749291</v>
      </c>
      <c r="AS66" s="13">
        <f t="shared" si="16"/>
        <v>45796.43466812792</v>
      </c>
      <c r="AT66" s="9">
        <v>3.6419015814511022</v>
      </c>
      <c r="AU66" s="13">
        <f t="shared" si="17"/>
        <v>35651.839777434237</v>
      </c>
    </row>
    <row r="67" spans="1:47" x14ac:dyDescent="0.35">
      <c r="A67">
        <f t="shared" si="12"/>
        <v>44</v>
      </c>
      <c r="B67" s="13">
        <f t="shared" si="13"/>
        <v>45785.410480055369</v>
      </c>
      <c r="F67">
        <f t="shared" si="14"/>
        <v>44</v>
      </c>
      <c r="G67" s="13">
        <f t="shared" si="15"/>
        <v>35634.585483957642</v>
      </c>
      <c r="L67" s="12" t="s">
        <v>12</v>
      </c>
      <c r="M67" s="10">
        <f>M45*$K56+M46*$K57+M47*$K58+M48*$K59+M49*$K60+M50*$K61+M51*$K62+M52*$K63+M53*$K64+M54*$K65</f>
        <v>0</v>
      </c>
      <c r="N67" s="10">
        <f t="shared" ref="N67:Y67" si="19">N45*$K56+N46*$K57+N47*$K58+N48*$K59+N49*$K60+N50*$K61+N51*$K62+N52*$K63+N53*$K64+N54*$K65</f>
        <v>2329.6663137860514</v>
      </c>
      <c r="O67" s="10">
        <f t="shared" si="19"/>
        <v>4654.1765617769061</v>
      </c>
      <c r="P67" s="10">
        <f t="shared" si="19"/>
        <v>7586.2882156519236</v>
      </c>
      <c r="Q67" s="10">
        <f t="shared" si="19"/>
        <v>11032.376035899022</v>
      </c>
      <c r="R67" s="10">
        <f t="shared" si="19"/>
        <v>14994.398026961526</v>
      </c>
      <c r="S67" s="10">
        <f t="shared" si="19"/>
        <v>19469.417182174449</v>
      </c>
      <c r="T67" s="10">
        <f t="shared" si="19"/>
        <v>24460.370508202777</v>
      </c>
      <c r="U67" s="10">
        <f t="shared" si="19"/>
        <v>29955.509978386573</v>
      </c>
      <c r="V67" s="10">
        <f t="shared" si="19"/>
        <v>35984.205659375672</v>
      </c>
      <c r="W67" s="10">
        <f t="shared" si="19"/>
        <v>42519.045488963573</v>
      </c>
      <c r="X67" s="10">
        <f t="shared" si="19"/>
        <v>49566.882482701883</v>
      </c>
      <c r="Y67" s="10">
        <f t="shared" si="19"/>
        <v>57130.653647255604</v>
      </c>
      <c r="AQ67">
        <v>44</v>
      </c>
      <c r="AR67" s="14">
        <v>4.6770646304834749</v>
      </c>
      <c r="AS67" s="13">
        <f t="shared" si="16"/>
        <v>45785.410480055369</v>
      </c>
      <c r="AT67" s="9">
        <v>3.6401390233589668</v>
      </c>
      <c r="AU67" s="13">
        <f t="shared" si="17"/>
        <v>35634.585483957642</v>
      </c>
    </row>
    <row r="68" spans="1:47" x14ac:dyDescent="0.35">
      <c r="A68">
        <f t="shared" si="12"/>
        <v>45</v>
      </c>
      <c r="B68" s="13">
        <f t="shared" si="13"/>
        <v>45774.084058672182</v>
      </c>
      <c r="F68">
        <f t="shared" si="14"/>
        <v>45</v>
      </c>
      <c r="G68" s="13">
        <f t="shared" si="15"/>
        <v>35617.213136933613</v>
      </c>
      <c r="AQ68">
        <v>45</v>
      </c>
      <c r="AR68" s="14">
        <v>4.6759076155242161</v>
      </c>
      <c r="AS68" s="13">
        <f t="shared" si="16"/>
        <v>45774.084058672182</v>
      </c>
      <c r="AT68" s="9">
        <v>3.6383644058779248</v>
      </c>
      <c r="AU68" s="13">
        <f t="shared" si="17"/>
        <v>35617.213136933613</v>
      </c>
    </row>
    <row r="69" spans="1:47" x14ac:dyDescent="0.35">
      <c r="A69">
        <f t="shared" si="12"/>
        <v>46</v>
      </c>
      <c r="B69" s="13">
        <f t="shared" si="13"/>
        <v>45762.454110642306</v>
      </c>
      <c r="F69">
        <f t="shared" si="14"/>
        <v>46</v>
      </c>
      <c r="G69" s="13">
        <f t="shared" si="15"/>
        <v>35599.724579193353</v>
      </c>
      <c r="I69" s="1" t="s">
        <v>38</v>
      </c>
      <c r="J69" s="2" t="s">
        <v>29</v>
      </c>
      <c r="K69" s="2"/>
      <c r="AQ69">
        <v>46</v>
      </c>
      <c r="AR69" s="14">
        <v>4.6747195947548352</v>
      </c>
      <c r="AS69" s="13">
        <f t="shared" si="16"/>
        <v>45762.454110642306</v>
      </c>
      <c r="AT69" s="9">
        <v>3.6365779172566035</v>
      </c>
      <c r="AU69" s="13">
        <f t="shared" si="17"/>
        <v>35599.724579193353</v>
      </c>
    </row>
    <row r="70" spans="1:47" x14ac:dyDescent="0.35">
      <c r="A70">
        <f t="shared" si="12"/>
        <v>47</v>
      </c>
      <c r="B70" s="13">
        <f t="shared" si="13"/>
        <v>45750.519365707485</v>
      </c>
      <c r="F70">
        <f t="shared" si="14"/>
        <v>47</v>
      </c>
      <c r="G70" s="13">
        <f t="shared" si="15"/>
        <v>35582.121585223489</v>
      </c>
      <c r="L70" s="4" t="s">
        <v>78</v>
      </c>
      <c r="M70" s="1">
        <v>0</v>
      </c>
      <c r="N70" s="1">
        <v>8.0000000000000002E-3</v>
      </c>
      <c r="O70" s="1">
        <v>1.4E-2</v>
      </c>
      <c r="P70" s="1">
        <v>0.02</v>
      </c>
      <c r="Q70" s="1">
        <v>2.5999999999999999E-2</v>
      </c>
      <c r="R70" s="1">
        <v>3.2000000000000001E-2</v>
      </c>
      <c r="S70" s="1">
        <v>3.7999999999999999E-2</v>
      </c>
      <c r="T70" s="1">
        <v>4.3999999999999997E-2</v>
      </c>
      <c r="U70" s="1">
        <v>0.05</v>
      </c>
      <c r="V70" s="1">
        <v>5.6000000000000001E-2</v>
      </c>
      <c r="W70" s="1">
        <v>6.2E-2</v>
      </c>
      <c r="X70" s="1">
        <v>6.8000000000000005E-2</v>
      </c>
      <c r="Y70" s="1">
        <v>7.3999999999999996E-2</v>
      </c>
      <c r="AQ70">
        <v>47</v>
      </c>
      <c r="AR70" s="14">
        <v>4.673500438416097</v>
      </c>
      <c r="AS70" s="13">
        <f t="shared" si="16"/>
        <v>45750.519365707485</v>
      </c>
      <c r="AT70" s="9">
        <v>3.6347797387621048</v>
      </c>
      <c r="AU70" s="13">
        <f t="shared" si="17"/>
        <v>35582.121585223489</v>
      </c>
    </row>
    <row r="71" spans="1:47" x14ac:dyDescent="0.35">
      <c r="A71">
        <f t="shared" si="12"/>
        <v>48</v>
      </c>
      <c r="B71" s="13">
        <f t="shared" si="13"/>
        <v>45738.278575786862</v>
      </c>
      <c r="F71">
        <f t="shared" si="14"/>
        <v>48</v>
      </c>
      <c r="G71" s="13">
        <f t="shared" si="15"/>
        <v>35564.405865106142</v>
      </c>
      <c r="I71" s="1">
        <v>1</v>
      </c>
      <c r="J71" t="s">
        <v>30</v>
      </c>
      <c r="K71">
        <f>IF(J71="Einschraub Einlass 8 mm",8,IF(J71="Einschraub Einlass 10 mm",10,IF(J71="Einschraub Einlass 13 mm",13)))</f>
        <v>10</v>
      </c>
      <c r="L71" s="4" t="s">
        <v>12</v>
      </c>
      <c r="M71" s="1">
        <v>0</v>
      </c>
      <c r="N71" s="10">
        <f>IF(N$19*1000^2/($M$16*($K71/2000)^2*PI())*($K71/1000)/$O$16&lt;2320,(64*25*1000*$M$16*(N$19/($M$16*($K71/2000)^2*PI()))^2)/((N$19*1000^2/($M$16*($K71/2000)^2*PI())*($K71/1000)/$O$16)*1000*$K71*2)*AC71,(0.3164*25*1000*$M$16*(N$19/($M$16*($K71/2000)^2*PI()))^2)/(((N$19*1000^2/($M$16*($K71/2000)^2*PI())*($K71/1000)/$O$16))^0.25*1000*$K71*2)*AC71)</f>
        <v>1.956949556419137</v>
      </c>
      <c r="O71" s="10">
        <f>IF(O$19*1000^2/($M$16*($K71/2000)^2*PI())*($K71/1000)/$O$16&lt;2320,(64*25*1000*$M$16*(O$19/($M$16*($K71/2000)^2*PI()))^2)/((O$19*1000^2/($M$16*($K71/2000)^2*PI())*($K71/1000)/$O$16)*1000*$K71*2)*AD71,(0.3164*25*1000*$M$16*(O$19/($M$16*($K71/2000)^2*PI()))^2)/(((O$19*1000^2/($M$16*($K71/2000)^2*PI())*($K71/1000)/$O$16))^0.25*1000*$K71*2)*AD71)</f>
        <v>9.1606758081852941</v>
      </c>
      <c r="P71" s="10">
        <f>IF(P$19*1000^2/($M$16*($K71/2000)^2*PI())*($K71/1000)/$O$16&lt;2320,(64*25*1000*$M$16*(P$19/($M$16*($K71/2000)^2*PI()))^2)/((P$19*1000^2/($M$16*($K71/2000)^2*PI())*($K71/1000)/$O$16)*1000*$K71*2)*AE71,(0.3164*25*1000*$M$16*(P$19/($M$16*($K71/2000)^2*PI()))^2)/(((P$19*1000^2/($M$16*($K71/2000)^2*PI())*($K71/1000)/$O$16))^0.25*1000*$K71*2)*AE71)</f>
        <v>21.202387305956364</v>
      </c>
      <c r="Q71" s="10">
        <f>IF(Q$19*1000^2/($M$16*($K71/2000)^2*PI())*($K71/1000)/$O$16&lt;2320,(64*25*1000*$M$16*(Q$19/($M$16*($K71/2000)^2*PI()))^2)/((Q$19*1000^2/($M$16*($K71/2000)^2*PI())*($K71/1000)/$O$16)*1000*$K71*2)*AF71,(0.3164*25*1000*$M$16*(Q$19/($M$16*($K71/2000)^2*PI()))^2)/(((Q$19*1000^2/($M$16*($K71/2000)^2*PI())*($K71/1000)/$O$16))^0.25*1000*$K71*2)*AF71)</f>
        <v>38.328114420556538</v>
      </c>
      <c r="R71" s="10">
        <f>IF(R$19*1000^2/($M$16*($K71/2000)^2*PI())*($K71/1000)/$O$16&lt;2320,(64*25*1000*$M$16*(R$19/($M$16*($K71/2000)^2*PI()))^2)/((R$19*1000^2/($M$16*($K71/2000)^2*PI())*($K71/1000)/$O$16)*1000*$K71*2)*AG71,(0.3164*25*1000*$M$16*(R$19/($M$16*($K71/2000)^2*PI()))^2)/(((R$19*1000^2/($M$16*($K71/2000)^2*PI())*($K71/1000)/$O$16))^0.25*1000*$K71*2)*AG71)</f>
        <v>60.438790901878392</v>
      </c>
      <c r="S71" s="10">
        <f>IF(S$19*1000^2/($M$16*($K71/2000)^2*PI())*($K71/1000)/$O$16&lt;2320,(64*25*1000*$M$16*(S$19/($M$16*($K71/2000)^2*PI()))^2)/((S$19*1000^2/($M$16*($K71/2000)^2*PI())*($K71/1000)/$O$16)*1000*$K71*2)*AH71,(0.3164*25*1000*$M$16*(S$19/($M$16*($K71/2000)^2*PI()))^2)/(((S$19*1000^2/($M$16*($K71/2000)^2*PI())*($K71/1000)/$O$16))^0.25*1000*$K71*2)*AH71)</f>
        <v>87.438421741303998</v>
      </c>
      <c r="T71" s="10">
        <f>IF(T$19*1000^2/($M$16*($K71/2000)^2*PI())*($K71/1000)/$O$16&lt;2320,(64*25*1000*$M$16*(T$19/($M$16*($K71/2000)^2*PI()))^2)/((T$19*1000^2/($M$16*($K71/2000)^2*PI())*($K71/1000)/$O$16)*1000*$K71*2)*AI71,(0.3164*25*1000*$M$16*(T$19/($M$16*($K71/2000)^2*PI()))^2)/(((T$19*1000^2/($M$16*($K71/2000)^2*PI())*($K71/1000)/$O$16))^0.25*1000*$K71*2)*AI71)</f>
        <v>119.24996174977447</v>
      </c>
      <c r="U71" s="10">
        <f>IF(U$19*1000^2/($M$16*($K71/2000)^2*PI())*($K71/1000)/$O$16&lt;2320,(64*25*1000*$M$16*(U$19/($M$16*($K71/2000)^2*PI()))^2)/((U$19*1000^2/($M$16*($K71/2000)^2*PI())*($K71/1000)/$O$16)*1000*$K71*2)*AJ71,(0.3164*25*1000*$M$16*(U$19/($M$16*($K71/2000)^2*PI()))^2)/(((U$19*1000^2/($M$16*($K71/2000)^2*PI())*($K71/1000)/$O$16))^0.25*1000*$K71*2)*AJ71)</f>
        <v>155.8169675481206</v>
      </c>
      <c r="V71" s="10">
        <f>IF(V$19*1000^2/($M$16*($K71/2000)^2*PI())*($K71/1000)/$O$16&lt;2320,(64*25*1000*$M$16*(V$19/($M$16*($K71/2000)^2*PI()))^2)/((V$19*1000^2/($M$16*($K71/2000)^2*PI())*($K71/1000)/$O$16)*1000*$K71*2)*AK71,(0.3164*25*1000*$M$16*(V$19/($M$16*($K71/2000)^2*PI()))^2)/(((V$19*1000^2/($M$16*($K71/2000)^2*PI())*($K71/1000)/$O$16))^0.25*1000*$K71*2)*AK71)</f>
        <v>197.10169099628501</v>
      </c>
      <c r="W71" s="10">
        <f>IF(W$19*1000^2/($M$16*($K71/2000)^2*PI())*($K71/1000)/$O$16&lt;2320,(64*25*1000*$M$16*(W$19/($M$16*($K71/2000)^2*PI()))^2)/((W$19*1000^2/($M$16*($K71/2000)^2*PI())*($K71/1000)/$O$16)*1000*$K71*2)*AL71,(0.3164*25*1000*$M$16*(W$19/($M$16*($K71/2000)^2*PI()))^2)/(((W$19*1000^2/($M$16*($K71/2000)^2*PI())*($K71/1000)/$O$16))^0.25*1000*$K71*2)*AL71)</f>
        <v>243.08256243495714</v>
      </c>
      <c r="X71" s="10">
        <f>IF(X$19*1000^2/($M$16*($K71/2000)^2*PI())*($K71/1000)/$O$16&lt;2320,(64*25*1000*$M$16*(X$19/($M$16*($K71/2000)^2*PI()))^2)/((X$19*1000^2/($M$16*($K71/2000)^2*PI())*($K71/1000)/$O$16)*1000*$K71*2)*AM71,(0.3164*25*1000*$M$16*(X$19/($M$16*($K71/2000)^2*PI()))^2)/(((X$19*1000^2/($M$16*($K71/2000)^2*PI())*($K71/1000)/$O$16))^0.25*1000*$K71*2)*AM71)</f>
        <v>293.75187890579986</v>
      </c>
      <c r="Y71" s="10">
        <f>IF(Y$19*1000^2/($M$16*($K71/2000)^2*PI())*($K71/1000)/$O$16&lt;2320,(64*25*1000*$M$16*(Y$19/($M$16*($K71/2000)^2*PI()))^2)/((Y$19*1000^2/($M$16*($K71/2000)^2*PI())*($K71/1000)/$O$16)*1000*$K71*2)*AN71,(0.3164*25*1000*$M$16*(Y$19/($M$16*($K71/2000)^2*PI()))^2)/(((Y$19*1000^2/($M$16*($K71/2000)^2*PI())*($K71/1000)/$O$16))^0.25*1000*$K71*2)*AN71)</f>
        <v>349.11387769152907</v>
      </c>
      <c r="AB71">
        <f>IF($J71="Einschraub Einlass 8 mm",(-0.674317161672497+472.61493062248*M$19)/(1 + 61.1678061693514*M$19 + -70.1563909237953*M$19^2),IF($J71="Einschraub Einlass 10 mm",(-0.674317161672497+472.61493062248*M$19)/(1 + 61.1678061693514*M$19 + -70.1563909237953*M$19^2)*1.585,IF($J71="Einschraub Einlass 13 mm",(-0.674317161672497+472.61493062248*M$19)/(1 + 61.1678061693514*M$19 + -70.1563909237953*M$19^2)*3.982)))</f>
        <v>-1.0687927012509078</v>
      </c>
      <c r="AC71">
        <f>IF($J71="Einschraub Einlass 8 mm",(-0.674317161672497+472.61493062248*N$19)/(1 + 61.1678061693514*N$19 + -70.1563909237953*N$19^2),IF($J71="Einschraub Einlass 10 mm",(-0.674317161672497+472.61493062248*N$19)/(1 + 61.1678061693514*N$19 + -70.1563909237953*N$19^2)*1.585,IF($J71="Einschraub Einlass 13 mm",(-0.674317161672497+472.61493062248*N$19)/(1 + 61.1678061693514*N$19 + -70.1563909237953*N$19^2)*3.982)))</f>
        <v>3.3161306034752864</v>
      </c>
      <c r="AD71">
        <f>IF($J71="Einschraub Einlass 8 mm",(-0.674317161672497+472.61493062248*O$19)/(1 + 61.1678061693514*O$19 + -70.1563909237953*O$19^2),IF($J71="Einschraub Einlass 10 mm",(-0.674317161672497+472.61493062248*O$19)/(1 + 61.1678061693514*O$19 + -70.1563909237953*O$19^2)*1.585,IF($J71="Einschraub Einlass 13 mm",(-0.674317161672497+472.61493062248*O$19)/(1 + 61.1678061693514*O$19 + -70.1563909237953*O$19^2)*3.982)))</f>
        <v>5.1115486773667866</v>
      </c>
      <c r="AE71">
        <f>IF($J71="Einschraub Einlass 8 mm",(-0.674317161672497+472.61493062248*P$19)/(1 + 61.1678061693514*P$19 + -70.1563909237953*P$19^2),IF($J71="Einschraub Einlass 10 mm",(-0.674317161672497+472.61493062248*P$19)/(1 + 61.1678061693514*P$19 + -70.1563909237953*P$19^2)*1.585,IF($J71="Einschraub Einlass 13 mm",(-0.674317161672497+472.61493062248*P$19)/(1 + 61.1678061693514*P$19 + -70.1563909237953*P$19^2)*3.982)))</f>
        <v>6.3376947887583999</v>
      </c>
      <c r="AF71">
        <f>IF($J71="Einschraub Einlass 8 mm",(-0.674317161672497+472.61493062248*Q$19)/(1 + 61.1678061693514*Q$19 + -70.1563909237953*Q$19^2),IF($J71="Einschraub Einlass 10 mm",(-0.674317161672497+472.61493062248*Q$19)/(1 + 61.1678061693514*Q$19 + -70.1563909237953*Q$19^2)*1.585,IF($J71="Einschraub Einlass 13 mm",(-0.674317161672497+472.61493062248*Q$19)/(1 + 61.1678061693514*Q$19 + -70.1563909237953*Q$19^2)*3.982)))</f>
        <v>7.2387427810439542</v>
      </c>
      <c r="AG71">
        <f>IF($J71="Einschraub Einlass 8 mm",(-0.674317161672497+472.61493062248*R$19)/(1 + 61.1678061693514*R$19 + -70.1563909237953*R$19^2),IF($J71="Einschraub Einlass 10 mm",(-0.674317161672497+472.61493062248*R$19)/(1 + 61.1678061693514*R$19 + -70.1563909237953*R$19^2)*1.585,IF($J71="Einschraub Einlass 13 mm",(-0.674317161672497+472.61493062248*R$19)/(1 + 61.1678061693514*R$19 + -70.1563909237953*R$19^2)*3.982)))</f>
        <v>7.9369264340123538</v>
      </c>
      <c r="AH71">
        <f>IF($J71="Einschraub Einlass 8 mm",(-0.674317161672497+472.61493062248*S$19)/(1 + 61.1678061693514*S$19 + -70.1563909237953*S$19^2),IF($J71="Einschraub Einlass 10 mm",(-0.674317161672497+472.61493062248*S$19)/(1 + 61.1678061693514*S$19 + -70.1563909237953*S$19^2)*1.585,IF($J71="Einschraub Einlass 13 mm",(-0.674317161672497+472.61493062248*S$19)/(1 + 61.1678061693514*S$19 + -70.1563909237953*S$19^2)*3.982)))</f>
        <v>8.5002180279868291</v>
      </c>
      <c r="AI71">
        <f>IF($J71="Einschraub Einlass 8 mm",(-0.674317161672497+472.61493062248*T$19)/(1 + 61.1678061693514*T$19 + -70.1563909237953*T$19^2),IF($J71="Einschraub Einlass 10 mm",(-0.674317161672497+472.61493062248*T$19)/(1 + 61.1678061693514*T$19 + -70.1563909237953*T$19^2)*1.585,IF($J71="Einschraub Einlass 13 mm",(-0.674317161672497+472.61493062248*T$19)/(1 + 61.1678061693514*T$19 + -70.1563909237953*T$19^2)*3.982)))</f>
        <v>8.9694355584231236</v>
      </c>
      <c r="AJ71">
        <f>IF($J71="Einschraub Einlass 8 mm",(-0.674317161672497+472.61493062248*U$19)/(1 + 61.1678061693514*U$19 + -70.1563909237953*U$19^2),IF($J71="Einschraub Einlass 10 mm",(-0.674317161672497+472.61493062248*U$19)/(1 + 61.1678061693514*U$19 + -70.1563909237953*U$19^2)*1.585,IF($J71="Einschraub Einlass 13 mm",(-0.674317161672497+472.61493062248*U$19)/(1 + 61.1678061693514*U$19 + -70.1563909237953*U$19^2)*3.982)))</f>
        <v>9.370576054085678</v>
      </c>
      <c r="AK71">
        <f>IF($J71="Einschraub Einlass 8 mm",(-0.674317161672497+472.61493062248*V$19)/(1 + 61.1678061693514*V$19 + -70.1563909237953*V$19^2),IF($J71="Einschraub Einlass 10 mm",(-0.674317161672497+472.61493062248*V$19)/(1 + 61.1678061693514*V$19 + -70.1563909237953*V$19^2)*1.585,IF($J71="Einschraub Einlass 13 mm",(-0.674317161672497+472.61493062248*V$19)/(1 + 61.1678061693514*V$19 + -70.1563909237953*V$19^2)*3.982)))</f>
        <v>9.7209867778207943</v>
      </c>
      <c r="AL71">
        <f>IF($J71="Einschraub Einlass 8 mm",(-0.674317161672497+472.61493062248*W$19)/(1 + 61.1678061693514*W$19 + -70.1563909237953*W$19^2),IF($J71="Einschraub Einlass 10 mm",(-0.674317161672497+472.61493062248*W$19)/(1 + 61.1678061693514*W$19 + -70.1563909237953*W$19^2)*1.585,IF($J71="Einschraub Einlass 13 mm",(-0.674317161672497+472.61493062248*W$19)/(1 + 61.1678061693514*W$19 + -70.1563909237953*W$19^2)*3.982)))</f>
        <v>10.032690124766633</v>
      </c>
      <c r="AM71">
        <f>IF($J71="Einschraub Einlass 8 mm",(-0.674317161672497+472.61493062248*X$19)/(1 + 61.1678061693514*X$19 + -70.1563909237953*X$19^2),IF($J71="Einschraub Einlass 10 mm",(-0.674317161672497+472.61493062248*X$19)/(1 + 61.1678061693514*X$19 + -70.1563909237953*X$19^2)*1.585,IF($J71="Einschraub Einlass 13 mm",(-0.674317161672497+472.61493062248*X$19)/(1 + 61.1678061693514*X$19 + -70.1563909237953*X$19^2)*3.982)))</f>
        <v>10.31428447414692</v>
      </c>
      <c r="AN71">
        <f>IF($J71="Einschraub Einlass 8 mm",(-0.674317161672497+472.61493062248*Y$19)/(1 + 61.1678061693514*Y$19 + -70.1563909237953*Y$19^2),IF($J71="Einschraub Einlass 10 mm",(-0.674317161672497+472.61493062248*Y$19)/(1 + 61.1678061693514*Y$19 + -70.1563909237953*Y$19^2)*1.585,IF($J71="Einschraub Einlass 13 mm",(-0.674317161672497+472.61493062248*Y$19)/(1 + 61.1678061693514*Y$19 + -70.1563909237953*Y$19^2)*3.982)))</f>
        <v>10.572085159851511</v>
      </c>
      <c r="AQ71">
        <v>48</v>
      </c>
      <c r="AR71" s="14">
        <v>4.6722500190142249</v>
      </c>
      <c r="AS71" s="13">
        <f t="shared" si="16"/>
        <v>45738.278575786862</v>
      </c>
      <c r="AT71" s="9">
        <v>3.6329700450824878</v>
      </c>
      <c r="AU71" s="13">
        <f t="shared" si="17"/>
        <v>35564.405865106142</v>
      </c>
    </row>
    <row r="72" spans="1:47" x14ac:dyDescent="0.35">
      <c r="A72">
        <f t="shared" si="12"/>
        <v>49</v>
      </c>
      <c r="B72" s="13">
        <f t="shared" si="13"/>
        <v>45725.730514129893</v>
      </c>
      <c r="F72">
        <f t="shared" si="14"/>
        <v>49</v>
      </c>
      <c r="G72" s="13">
        <f t="shared" si="15"/>
        <v>35546.579068154126</v>
      </c>
      <c r="I72" s="1">
        <v>2</v>
      </c>
      <c r="J72" t="s">
        <v>30</v>
      </c>
      <c r="K72">
        <f t="shared" ref="K72:K73" si="20">IF(J72="Einschraub Einlass 8 mm",8,IF(J72="Einschraub Einlass 10 mm",10,IF(J72="Einschraub Einlass 13 mm",13)))</f>
        <v>10</v>
      </c>
      <c r="L72" s="4" t="s">
        <v>12</v>
      </c>
      <c r="M72" s="1">
        <v>0</v>
      </c>
      <c r="N72" s="10">
        <f>IF(N$19*1000^2/($M$16*($K72/2000)^2*PI())*($K72/1000)/$O$16&lt;2320,(64*25*1000*$M$16*(N$19/($M$16*($K72/2000)^2*PI()))^2)/((N$19*1000^2/($M$16*($K72/2000)^2*PI())*($K72/1000)/$O$16)*1000*$K72*2)*AC72,(0.3164*25*1000*$M$16*(N$19/($M$16*($K72/2000)^2*PI()))^2)/(((N$19*1000^2/($M$16*($K72/2000)^2*PI())*($K72/1000)/$O$16))^0.25*1000*$K72*2)*AC72)</f>
        <v>1.956949556419137</v>
      </c>
      <c r="O72" s="10">
        <f>IF(O$19*1000^2/($M$16*($K72/2000)^2*PI())*($K72/1000)/$O$16&lt;2320,(64*25*1000*$M$16*(O$19/($M$16*($K72/2000)^2*PI()))^2)/((O$19*1000^2/($M$16*($K72/2000)^2*PI())*($K72/1000)/$O$16)*1000*$K72*2)*AD72,(0.3164*25*1000*$M$16*(O$19/($M$16*($K72/2000)^2*PI()))^2)/(((O$19*1000^2/($M$16*($K72/2000)^2*PI())*($K72/1000)/$O$16))^0.25*1000*$K72*2)*AD72)</f>
        <v>9.1606758081852941</v>
      </c>
      <c r="P72" s="10">
        <f>IF(P$19*1000^2/($M$16*($K72/2000)^2*PI())*($K72/1000)/$O$16&lt;2320,(64*25*1000*$M$16*(P$19/($M$16*($K72/2000)^2*PI()))^2)/((P$19*1000^2/($M$16*($K72/2000)^2*PI())*($K72/1000)/$O$16)*1000*$K72*2)*AE72,(0.3164*25*1000*$M$16*(P$19/($M$16*($K72/2000)^2*PI()))^2)/(((P$19*1000^2/($M$16*($K72/2000)^2*PI())*($K72/1000)/$O$16))^0.25*1000*$K72*2)*AE72)</f>
        <v>21.202387305956364</v>
      </c>
      <c r="Q72" s="10">
        <f>IF(Q$19*1000^2/($M$16*($K72/2000)^2*PI())*($K72/1000)/$O$16&lt;2320,(64*25*1000*$M$16*(Q$19/($M$16*($K72/2000)^2*PI()))^2)/((Q$19*1000^2/($M$16*($K72/2000)^2*PI())*($K72/1000)/$O$16)*1000*$K72*2)*AF72,(0.3164*25*1000*$M$16*(Q$19/($M$16*($K72/2000)^2*PI()))^2)/(((Q$19*1000^2/($M$16*($K72/2000)^2*PI())*($K72/1000)/$O$16))^0.25*1000*$K72*2)*AF72)</f>
        <v>38.328114420556538</v>
      </c>
      <c r="R72" s="10">
        <f>IF(R$19*1000^2/($M$16*($K72/2000)^2*PI())*($K72/1000)/$O$16&lt;2320,(64*25*1000*$M$16*(R$19/($M$16*($K72/2000)^2*PI()))^2)/((R$19*1000^2/($M$16*($K72/2000)^2*PI())*($K72/1000)/$O$16)*1000*$K72*2)*AG72,(0.3164*25*1000*$M$16*(R$19/($M$16*($K72/2000)^2*PI()))^2)/(((R$19*1000^2/($M$16*($K72/2000)^2*PI())*($K72/1000)/$O$16))^0.25*1000*$K72*2)*AG72)</f>
        <v>60.438790901878392</v>
      </c>
      <c r="S72" s="10">
        <f>IF(S$19*1000^2/($M$16*($K72/2000)^2*PI())*($K72/1000)/$O$16&lt;2320,(64*25*1000*$M$16*(S$19/($M$16*($K72/2000)^2*PI()))^2)/((S$19*1000^2/($M$16*($K72/2000)^2*PI())*($K72/1000)/$O$16)*1000*$K72*2)*AH72,(0.3164*25*1000*$M$16*(S$19/($M$16*($K72/2000)^2*PI()))^2)/(((S$19*1000^2/($M$16*($K72/2000)^2*PI())*($K72/1000)/$O$16))^0.25*1000*$K72*2)*AH72)</f>
        <v>87.438421741303998</v>
      </c>
      <c r="T72" s="10">
        <f>IF(T$19*1000^2/($M$16*($K72/2000)^2*PI())*($K72/1000)/$O$16&lt;2320,(64*25*1000*$M$16*(T$19/($M$16*($K72/2000)^2*PI()))^2)/((T$19*1000^2/($M$16*($K72/2000)^2*PI())*($K72/1000)/$O$16)*1000*$K72*2)*AI72,(0.3164*25*1000*$M$16*(T$19/($M$16*($K72/2000)^2*PI()))^2)/(((T$19*1000^2/($M$16*($K72/2000)^2*PI())*($K72/1000)/$O$16))^0.25*1000*$K72*2)*AI72)</f>
        <v>119.24996174977447</v>
      </c>
      <c r="U72" s="10">
        <f>IF(U$19*1000^2/($M$16*($K72/2000)^2*PI())*($K72/1000)/$O$16&lt;2320,(64*25*1000*$M$16*(U$19/($M$16*($K72/2000)^2*PI()))^2)/((U$19*1000^2/($M$16*($K72/2000)^2*PI())*($K72/1000)/$O$16)*1000*$K72*2)*AJ72,(0.3164*25*1000*$M$16*(U$19/($M$16*($K72/2000)^2*PI()))^2)/(((U$19*1000^2/($M$16*($K72/2000)^2*PI())*($K72/1000)/$O$16))^0.25*1000*$K72*2)*AJ72)</f>
        <v>155.8169675481206</v>
      </c>
      <c r="V72" s="10">
        <f>IF(V$19*1000^2/($M$16*($K72/2000)^2*PI())*($K72/1000)/$O$16&lt;2320,(64*25*1000*$M$16*(V$19/($M$16*($K72/2000)^2*PI()))^2)/((V$19*1000^2/($M$16*($K72/2000)^2*PI())*($K72/1000)/$O$16)*1000*$K72*2)*AK72,(0.3164*25*1000*$M$16*(V$19/($M$16*($K72/2000)^2*PI()))^2)/(((V$19*1000^2/($M$16*($K72/2000)^2*PI())*($K72/1000)/$O$16))^0.25*1000*$K72*2)*AK72)</f>
        <v>197.10169099628501</v>
      </c>
      <c r="W72" s="10">
        <f>IF(W$19*1000^2/($M$16*($K72/2000)^2*PI())*($K72/1000)/$O$16&lt;2320,(64*25*1000*$M$16*(W$19/($M$16*($K72/2000)^2*PI()))^2)/((W$19*1000^2/($M$16*($K72/2000)^2*PI())*($K72/1000)/$O$16)*1000*$K72*2)*AL72,(0.3164*25*1000*$M$16*(W$19/($M$16*($K72/2000)^2*PI()))^2)/(((W$19*1000^2/($M$16*($K72/2000)^2*PI())*($K72/1000)/$O$16))^0.25*1000*$K72*2)*AL72)</f>
        <v>243.08256243495714</v>
      </c>
      <c r="X72" s="10">
        <f>IF(X$19*1000^2/($M$16*($K72/2000)^2*PI())*($K72/1000)/$O$16&lt;2320,(64*25*1000*$M$16*(X$19/($M$16*($K72/2000)^2*PI()))^2)/((X$19*1000^2/($M$16*($K72/2000)^2*PI())*($K72/1000)/$O$16)*1000*$K72*2)*AM72,(0.3164*25*1000*$M$16*(X$19/($M$16*($K72/2000)^2*PI()))^2)/(((X$19*1000^2/($M$16*($K72/2000)^2*PI())*($K72/1000)/$O$16))^0.25*1000*$K72*2)*AM72)</f>
        <v>293.75187890579986</v>
      </c>
      <c r="Y72" s="10">
        <f>IF(Y$19*1000^2/($M$16*($K72/2000)^2*PI())*($K72/1000)/$O$16&lt;2320,(64*25*1000*$M$16*(Y$19/($M$16*($K72/2000)^2*PI()))^2)/((Y$19*1000^2/($M$16*($K72/2000)^2*PI())*($K72/1000)/$O$16)*1000*$K72*2)*AN72,(0.3164*25*1000*$M$16*(Y$19/($M$16*($K72/2000)^2*PI()))^2)/(((Y$19*1000^2/($M$16*($K72/2000)^2*PI())*($K72/1000)/$O$16))^0.25*1000*$K72*2)*AN72)</f>
        <v>349.11387769152907</v>
      </c>
      <c r="AB72">
        <f>IF($J72="Einschraub Einlass 8 mm",(-0.674317161672497+472.61493062248*M$19)/(1 + 61.1678061693514*M$19 + -70.1563909237953*M$19^2),IF($J72="Einschraub Einlass 10 mm",(-0.674317161672497+472.61493062248*M$19)/(1 + 61.1678061693514*M$19 + -70.1563909237953*M$19^2)*1.585,IF($J72="Einschraub Einlass 13 mm",(-0.674317161672497+472.61493062248*M$19)/(1 + 61.1678061693514*M$19 + -70.1563909237953*M$19^2)*3.982)))</f>
        <v>-1.0687927012509078</v>
      </c>
      <c r="AC72">
        <f>IF($J72="Einschraub Einlass 8 mm",(-0.674317161672497+472.61493062248*N$19)/(1 + 61.1678061693514*N$19 + -70.1563909237953*N$19^2),IF($J72="Einschraub Einlass 10 mm",(-0.674317161672497+472.61493062248*N$19)/(1 + 61.1678061693514*N$19 + -70.1563909237953*N$19^2)*1.585,IF($J72="Einschraub Einlass 13 mm",(-0.674317161672497+472.61493062248*N$19)/(1 + 61.1678061693514*N$19 + -70.1563909237953*N$19^2)*3.982)))</f>
        <v>3.3161306034752864</v>
      </c>
      <c r="AD72">
        <f>IF($J72="Einschraub Einlass 8 mm",(-0.674317161672497+472.61493062248*O$19)/(1 + 61.1678061693514*O$19 + -70.1563909237953*O$19^2),IF($J72="Einschraub Einlass 10 mm",(-0.674317161672497+472.61493062248*O$19)/(1 + 61.1678061693514*O$19 + -70.1563909237953*O$19^2)*1.585,IF($J72="Einschraub Einlass 13 mm",(-0.674317161672497+472.61493062248*O$19)/(1 + 61.1678061693514*O$19 + -70.1563909237953*O$19^2)*3.982)))</f>
        <v>5.1115486773667866</v>
      </c>
      <c r="AE72">
        <f>IF($J72="Einschraub Einlass 8 mm",(-0.674317161672497+472.61493062248*P$19)/(1 + 61.1678061693514*P$19 + -70.1563909237953*P$19^2),IF($J72="Einschraub Einlass 10 mm",(-0.674317161672497+472.61493062248*P$19)/(1 + 61.1678061693514*P$19 + -70.1563909237953*P$19^2)*1.585,IF($J72="Einschraub Einlass 13 mm",(-0.674317161672497+472.61493062248*P$19)/(1 + 61.1678061693514*P$19 + -70.1563909237953*P$19^2)*3.982)))</f>
        <v>6.3376947887583999</v>
      </c>
      <c r="AF72">
        <f>IF($J72="Einschraub Einlass 8 mm",(-0.674317161672497+472.61493062248*Q$19)/(1 + 61.1678061693514*Q$19 + -70.1563909237953*Q$19^2),IF($J72="Einschraub Einlass 10 mm",(-0.674317161672497+472.61493062248*Q$19)/(1 + 61.1678061693514*Q$19 + -70.1563909237953*Q$19^2)*1.585,IF($J72="Einschraub Einlass 13 mm",(-0.674317161672497+472.61493062248*Q$19)/(1 + 61.1678061693514*Q$19 + -70.1563909237953*Q$19^2)*3.982)))</f>
        <v>7.2387427810439542</v>
      </c>
      <c r="AG72">
        <f>IF($J72="Einschraub Einlass 8 mm",(-0.674317161672497+472.61493062248*R$19)/(1 + 61.1678061693514*R$19 + -70.1563909237953*R$19^2),IF($J72="Einschraub Einlass 10 mm",(-0.674317161672497+472.61493062248*R$19)/(1 + 61.1678061693514*R$19 + -70.1563909237953*R$19^2)*1.585,IF($J72="Einschraub Einlass 13 mm",(-0.674317161672497+472.61493062248*R$19)/(1 + 61.1678061693514*R$19 + -70.1563909237953*R$19^2)*3.982)))</f>
        <v>7.9369264340123538</v>
      </c>
      <c r="AH72">
        <f>IF($J72="Einschraub Einlass 8 mm",(-0.674317161672497+472.61493062248*S$19)/(1 + 61.1678061693514*S$19 + -70.1563909237953*S$19^2),IF($J72="Einschraub Einlass 10 mm",(-0.674317161672497+472.61493062248*S$19)/(1 + 61.1678061693514*S$19 + -70.1563909237953*S$19^2)*1.585,IF($J72="Einschraub Einlass 13 mm",(-0.674317161672497+472.61493062248*S$19)/(1 + 61.1678061693514*S$19 + -70.1563909237953*S$19^2)*3.982)))</f>
        <v>8.5002180279868291</v>
      </c>
      <c r="AI72">
        <f>IF($J72="Einschraub Einlass 8 mm",(-0.674317161672497+472.61493062248*T$19)/(1 + 61.1678061693514*T$19 + -70.1563909237953*T$19^2),IF($J72="Einschraub Einlass 10 mm",(-0.674317161672497+472.61493062248*T$19)/(1 + 61.1678061693514*T$19 + -70.1563909237953*T$19^2)*1.585,IF($J72="Einschraub Einlass 13 mm",(-0.674317161672497+472.61493062248*T$19)/(1 + 61.1678061693514*T$19 + -70.1563909237953*T$19^2)*3.982)))</f>
        <v>8.9694355584231236</v>
      </c>
      <c r="AJ72">
        <f>IF($J72="Einschraub Einlass 8 mm",(-0.674317161672497+472.61493062248*U$19)/(1 + 61.1678061693514*U$19 + -70.1563909237953*U$19^2),IF($J72="Einschraub Einlass 10 mm",(-0.674317161672497+472.61493062248*U$19)/(1 + 61.1678061693514*U$19 + -70.1563909237953*U$19^2)*1.585,IF($J72="Einschraub Einlass 13 mm",(-0.674317161672497+472.61493062248*U$19)/(1 + 61.1678061693514*U$19 + -70.1563909237953*U$19^2)*3.982)))</f>
        <v>9.370576054085678</v>
      </c>
      <c r="AK72">
        <f>IF($J72="Einschraub Einlass 8 mm",(-0.674317161672497+472.61493062248*V$19)/(1 + 61.1678061693514*V$19 + -70.1563909237953*V$19^2),IF($J72="Einschraub Einlass 10 mm",(-0.674317161672497+472.61493062248*V$19)/(1 + 61.1678061693514*V$19 + -70.1563909237953*V$19^2)*1.585,IF($J72="Einschraub Einlass 13 mm",(-0.674317161672497+472.61493062248*V$19)/(1 + 61.1678061693514*V$19 + -70.1563909237953*V$19^2)*3.982)))</f>
        <v>9.7209867778207943</v>
      </c>
      <c r="AL72">
        <f>IF($J72="Einschraub Einlass 8 mm",(-0.674317161672497+472.61493062248*W$19)/(1 + 61.1678061693514*W$19 + -70.1563909237953*W$19^2),IF($J72="Einschraub Einlass 10 mm",(-0.674317161672497+472.61493062248*W$19)/(1 + 61.1678061693514*W$19 + -70.1563909237953*W$19^2)*1.585,IF($J72="Einschraub Einlass 13 mm",(-0.674317161672497+472.61493062248*W$19)/(1 + 61.1678061693514*W$19 + -70.1563909237953*W$19^2)*3.982)))</f>
        <v>10.032690124766633</v>
      </c>
      <c r="AM72">
        <f>IF($J72="Einschraub Einlass 8 mm",(-0.674317161672497+472.61493062248*X$19)/(1 + 61.1678061693514*X$19 + -70.1563909237953*X$19^2),IF($J72="Einschraub Einlass 10 mm",(-0.674317161672497+472.61493062248*X$19)/(1 + 61.1678061693514*X$19 + -70.1563909237953*X$19^2)*1.585,IF($J72="Einschraub Einlass 13 mm",(-0.674317161672497+472.61493062248*X$19)/(1 + 61.1678061693514*X$19 + -70.1563909237953*X$19^2)*3.982)))</f>
        <v>10.31428447414692</v>
      </c>
      <c r="AN72">
        <f>IF($J72="Einschraub Einlass 8 mm",(-0.674317161672497+472.61493062248*Y$19)/(1 + 61.1678061693514*Y$19 + -70.1563909237953*Y$19^2),IF($J72="Einschraub Einlass 10 mm",(-0.674317161672497+472.61493062248*Y$19)/(1 + 61.1678061693514*Y$19 + -70.1563909237953*Y$19^2)*1.585,IF($J72="Einschraub Einlass 13 mm",(-0.674317161672497+472.61493062248*Y$19)/(1 + 61.1678061693514*Y$19 + -70.1563909237953*Y$19^2)*3.982)))</f>
        <v>10.572085159851511</v>
      </c>
      <c r="AQ72">
        <v>49</v>
      </c>
      <c r="AR72" s="14">
        <v>4.670968211234376</v>
      </c>
      <c r="AS72" s="13">
        <f t="shared" si="16"/>
        <v>45725.730514129893</v>
      </c>
      <c r="AT72" s="9">
        <v>3.6311490046981194</v>
      </c>
      <c r="AU72" s="13">
        <f t="shared" si="17"/>
        <v>35546.579068154126</v>
      </c>
    </row>
    <row r="73" spans="1:47" x14ac:dyDescent="0.35">
      <c r="A73">
        <f t="shared" si="12"/>
        <v>50</v>
      </c>
      <c r="B73" s="13">
        <f t="shared" si="13"/>
        <v>45712.873974518501</v>
      </c>
      <c r="F73">
        <f t="shared" si="14"/>
        <v>50</v>
      </c>
      <c r="G73" s="13">
        <f t="shared" si="15"/>
        <v>35528.642786270866</v>
      </c>
      <c r="I73" s="1">
        <v>3</v>
      </c>
      <c r="J73" t="s">
        <v>30</v>
      </c>
      <c r="K73">
        <f t="shared" si="20"/>
        <v>10</v>
      </c>
      <c r="L73" s="4" t="s">
        <v>12</v>
      </c>
      <c r="M73" s="1">
        <v>0</v>
      </c>
      <c r="N73" s="10">
        <f>IF(N$19*1000^2/($M$16*($K73/2000)^2*PI())*($K73/1000)/$O$16&lt;2320,(64*25*1000*$M$16*(N$19/($M$16*($K73/2000)^2*PI()))^2)/((N$19*1000^2/($M$16*($K73/2000)^2*PI())*($K73/1000)/$O$16)*1000*$K73*2)*AC73,(0.3164*25*1000*$M$16*(N$19/($M$16*($K73/2000)^2*PI()))^2)/(((N$19*1000^2/($M$16*($K73/2000)^2*PI())*($K73/1000)/$O$16))^0.25*1000*$K73*2)*AC73)</f>
        <v>1.956949556419137</v>
      </c>
      <c r="O73" s="10">
        <f>IF(O$19*1000^2/($M$16*($K73/2000)^2*PI())*($K73/1000)/$O$16&lt;2320,(64*25*1000*$M$16*(O$19/($M$16*($K73/2000)^2*PI()))^2)/((O$19*1000^2/($M$16*($K73/2000)^2*PI())*($K73/1000)/$O$16)*1000*$K73*2)*AD73,(0.3164*25*1000*$M$16*(O$19/($M$16*($K73/2000)^2*PI()))^2)/(((O$19*1000^2/($M$16*($K73/2000)^2*PI())*($K73/1000)/$O$16))^0.25*1000*$K73*2)*AD73)</f>
        <v>9.1606758081852941</v>
      </c>
      <c r="P73" s="10">
        <f>IF(P$19*1000^2/($M$16*($K73/2000)^2*PI())*($K73/1000)/$O$16&lt;2320,(64*25*1000*$M$16*(P$19/($M$16*($K73/2000)^2*PI()))^2)/((P$19*1000^2/($M$16*($K73/2000)^2*PI())*($K73/1000)/$O$16)*1000*$K73*2)*AE73,(0.3164*25*1000*$M$16*(P$19/($M$16*($K73/2000)^2*PI()))^2)/(((P$19*1000^2/($M$16*($K73/2000)^2*PI())*($K73/1000)/$O$16))^0.25*1000*$K73*2)*AE73)</f>
        <v>21.202387305956364</v>
      </c>
      <c r="Q73" s="10">
        <f>IF(Q$19*1000^2/($M$16*($K73/2000)^2*PI())*($K73/1000)/$O$16&lt;2320,(64*25*1000*$M$16*(Q$19/($M$16*($K73/2000)^2*PI()))^2)/((Q$19*1000^2/($M$16*($K73/2000)^2*PI())*($K73/1000)/$O$16)*1000*$K73*2)*AF73,(0.3164*25*1000*$M$16*(Q$19/($M$16*($K73/2000)^2*PI()))^2)/(((Q$19*1000^2/($M$16*($K73/2000)^2*PI())*($K73/1000)/$O$16))^0.25*1000*$K73*2)*AF73)</f>
        <v>38.328114420556538</v>
      </c>
      <c r="R73" s="10">
        <f>IF(R$19*1000^2/($M$16*($K73/2000)^2*PI())*($K73/1000)/$O$16&lt;2320,(64*25*1000*$M$16*(R$19/($M$16*($K73/2000)^2*PI()))^2)/((R$19*1000^2/($M$16*($K73/2000)^2*PI())*($K73/1000)/$O$16)*1000*$K73*2)*AG73,(0.3164*25*1000*$M$16*(R$19/($M$16*($K73/2000)^2*PI()))^2)/(((R$19*1000^2/($M$16*($K73/2000)^2*PI())*($K73/1000)/$O$16))^0.25*1000*$K73*2)*AG73)</f>
        <v>60.438790901878392</v>
      </c>
      <c r="S73" s="10">
        <f>IF(S$19*1000^2/($M$16*($K73/2000)^2*PI())*($K73/1000)/$O$16&lt;2320,(64*25*1000*$M$16*(S$19/($M$16*($K73/2000)^2*PI()))^2)/((S$19*1000^2/($M$16*($K73/2000)^2*PI())*($K73/1000)/$O$16)*1000*$K73*2)*AH73,(0.3164*25*1000*$M$16*(S$19/($M$16*($K73/2000)^2*PI()))^2)/(((S$19*1000^2/($M$16*($K73/2000)^2*PI())*($K73/1000)/$O$16))^0.25*1000*$K73*2)*AH73)</f>
        <v>87.438421741303998</v>
      </c>
      <c r="T73" s="10">
        <f>IF(T$19*1000^2/($M$16*($K73/2000)^2*PI())*($K73/1000)/$O$16&lt;2320,(64*25*1000*$M$16*(T$19/($M$16*($K73/2000)^2*PI()))^2)/((T$19*1000^2/($M$16*($K73/2000)^2*PI())*($K73/1000)/$O$16)*1000*$K73*2)*AI73,(0.3164*25*1000*$M$16*(T$19/($M$16*($K73/2000)^2*PI()))^2)/(((T$19*1000^2/($M$16*($K73/2000)^2*PI())*($K73/1000)/$O$16))^0.25*1000*$K73*2)*AI73)</f>
        <v>119.24996174977447</v>
      </c>
      <c r="U73" s="10">
        <f>IF(U$19*1000^2/($M$16*($K73/2000)^2*PI())*($K73/1000)/$O$16&lt;2320,(64*25*1000*$M$16*(U$19/($M$16*($K73/2000)^2*PI()))^2)/((U$19*1000^2/($M$16*($K73/2000)^2*PI())*($K73/1000)/$O$16)*1000*$K73*2)*AJ73,(0.3164*25*1000*$M$16*(U$19/($M$16*($K73/2000)^2*PI()))^2)/(((U$19*1000^2/($M$16*($K73/2000)^2*PI())*($K73/1000)/$O$16))^0.25*1000*$K73*2)*AJ73)</f>
        <v>155.8169675481206</v>
      </c>
      <c r="V73" s="10">
        <f>IF(V$19*1000^2/($M$16*($K73/2000)^2*PI())*($K73/1000)/$O$16&lt;2320,(64*25*1000*$M$16*(V$19/($M$16*($K73/2000)^2*PI()))^2)/((V$19*1000^2/($M$16*($K73/2000)^2*PI())*($K73/1000)/$O$16)*1000*$K73*2)*AK73,(0.3164*25*1000*$M$16*(V$19/($M$16*($K73/2000)^2*PI()))^2)/(((V$19*1000^2/($M$16*($K73/2000)^2*PI())*($K73/1000)/$O$16))^0.25*1000*$K73*2)*AK73)</f>
        <v>197.10169099628501</v>
      </c>
      <c r="W73" s="10">
        <f>IF(W$19*1000^2/($M$16*($K73/2000)^2*PI())*($K73/1000)/$O$16&lt;2320,(64*25*1000*$M$16*(W$19/($M$16*($K73/2000)^2*PI()))^2)/((W$19*1000^2/($M$16*($K73/2000)^2*PI())*($K73/1000)/$O$16)*1000*$K73*2)*AL73,(0.3164*25*1000*$M$16*(W$19/($M$16*($K73/2000)^2*PI()))^2)/(((W$19*1000^2/($M$16*($K73/2000)^2*PI())*($K73/1000)/$O$16))^0.25*1000*$K73*2)*AL73)</f>
        <v>243.08256243495714</v>
      </c>
      <c r="X73" s="10">
        <f>IF(X$19*1000^2/($M$16*($K73/2000)^2*PI())*($K73/1000)/$O$16&lt;2320,(64*25*1000*$M$16*(X$19/($M$16*($K73/2000)^2*PI()))^2)/((X$19*1000^2/($M$16*($K73/2000)^2*PI())*($K73/1000)/$O$16)*1000*$K73*2)*AM73,(0.3164*25*1000*$M$16*(X$19/($M$16*($K73/2000)^2*PI()))^2)/(((X$19*1000^2/($M$16*($K73/2000)^2*PI())*($K73/1000)/$O$16))^0.25*1000*$K73*2)*AM73)</f>
        <v>293.75187890579986</v>
      </c>
      <c r="Y73" s="10">
        <f>IF(Y$19*1000^2/($M$16*($K73/2000)^2*PI())*($K73/1000)/$O$16&lt;2320,(64*25*1000*$M$16*(Y$19/($M$16*($K73/2000)^2*PI()))^2)/((Y$19*1000^2/($M$16*($K73/2000)^2*PI())*($K73/1000)/$O$16)*1000*$K73*2)*AN73,(0.3164*25*1000*$M$16*(Y$19/($M$16*($K73/2000)^2*PI()))^2)/(((Y$19*1000^2/($M$16*($K73/2000)^2*PI())*($K73/1000)/$O$16))^0.25*1000*$K73*2)*AN73)</f>
        <v>349.11387769152907</v>
      </c>
      <c r="AB73">
        <f>IF($J73="Einschraub Einlass 8 mm",(-0.674317161672497+472.61493062248*M$19)/(1 + 61.1678061693514*M$19 + -70.1563909237953*M$19^2),IF($J73="Einschraub Einlass 10 mm",(-0.674317161672497+472.61493062248*M$19)/(1 + 61.1678061693514*M$19 + -70.1563909237953*M$19^2)*1.585,IF($J73="Einschraub Einlass 13 mm",(-0.674317161672497+472.61493062248*M$19)/(1 + 61.1678061693514*M$19 + -70.1563909237953*M$19^2)*3.982)))</f>
        <v>-1.0687927012509078</v>
      </c>
      <c r="AC73">
        <f>IF($J73="Einschraub Einlass 8 mm",(-0.674317161672497+472.61493062248*N$19)/(1 + 61.1678061693514*N$19 + -70.1563909237953*N$19^2),IF($J73="Einschraub Einlass 10 mm",(-0.674317161672497+472.61493062248*N$19)/(1 + 61.1678061693514*N$19 + -70.1563909237953*N$19^2)*1.585,IF($J73="Einschraub Einlass 13 mm",(-0.674317161672497+472.61493062248*N$19)/(1 + 61.1678061693514*N$19 + -70.1563909237953*N$19^2)*3.982)))</f>
        <v>3.3161306034752864</v>
      </c>
      <c r="AD73">
        <f>IF($J73="Einschraub Einlass 8 mm",(-0.674317161672497+472.61493062248*O$19)/(1 + 61.1678061693514*O$19 + -70.1563909237953*O$19^2),IF($J73="Einschraub Einlass 10 mm",(-0.674317161672497+472.61493062248*O$19)/(1 + 61.1678061693514*O$19 + -70.1563909237953*O$19^2)*1.585,IF($J73="Einschraub Einlass 13 mm",(-0.674317161672497+472.61493062248*O$19)/(1 + 61.1678061693514*O$19 + -70.1563909237953*O$19^2)*3.982)))</f>
        <v>5.1115486773667866</v>
      </c>
      <c r="AE73">
        <f>IF($J73="Einschraub Einlass 8 mm",(-0.674317161672497+472.61493062248*P$19)/(1 + 61.1678061693514*P$19 + -70.1563909237953*P$19^2),IF($J73="Einschraub Einlass 10 mm",(-0.674317161672497+472.61493062248*P$19)/(1 + 61.1678061693514*P$19 + -70.1563909237953*P$19^2)*1.585,IF($J73="Einschraub Einlass 13 mm",(-0.674317161672497+472.61493062248*P$19)/(1 + 61.1678061693514*P$19 + -70.1563909237953*P$19^2)*3.982)))</f>
        <v>6.3376947887583999</v>
      </c>
      <c r="AF73">
        <f>IF($J73="Einschraub Einlass 8 mm",(-0.674317161672497+472.61493062248*Q$19)/(1 + 61.1678061693514*Q$19 + -70.1563909237953*Q$19^2),IF($J73="Einschraub Einlass 10 mm",(-0.674317161672497+472.61493062248*Q$19)/(1 + 61.1678061693514*Q$19 + -70.1563909237953*Q$19^2)*1.585,IF($J73="Einschraub Einlass 13 mm",(-0.674317161672497+472.61493062248*Q$19)/(1 + 61.1678061693514*Q$19 + -70.1563909237953*Q$19^2)*3.982)))</f>
        <v>7.2387427810439542</v>
      </c>
      <c r="AG73">
        <f>IF($J73="Einschraub Einlass 8 mm",(-0.674317161672497+472.61493062248*R$19)/(1 + 61.1678061693514*R$19 + -70.1563909237953*R$19^2),IF($J73="Einschraub Einlass 10 mm",(-0.674317161672497+472.61493062248*R$19)/(1 + 61.1678061693514*R$19 + -70.1563909237953*R$19^2)*1.585,IF($J73="Einschraub Einlass 13 mm",(-0.674317161672497+472.61493062248*R$19)/(1 + 61.1678061693514*R$19 + -70.1563909237953*R$19^2)*3.982)))</f>
        <v>7.9369264340123538</v>
      </c>
      <c r="AH73">
        <f>IF($J73="Einschraub Einlass 8 mm",(-0.674317161672497+472.61493062248*S$19)/(1 + 61.1678061693514*S$19 + -70.1563909237953*S$19^2),IF($J73="Einschraub Einlass 10 mm",(-0.674317161672497+472.61493062248*S$19)/(1 + 61.1678061693514*S$19 + -70.1563909237953*S$19^2)*1.585,IF($J73="Einschraub Einlass 13 mm",(-0.674317161672497+472.61493062248*S$19)/(1 + 61.1678061693514*S$19 + -70.1563909237953*S$19^2)*3.982)))</f>
        <v>8.5002180279868291</v>
      </c>
      <c r="AI73">
        <f>IF($J73="Einschraub Einlass 8 mm",(-0.674317161672497+472.61493062248*T$19)/(1 + 61.1678061693514*T$19 + -70.1563909237953*T$19^2),IF($J73="Einschraub Einlass 10 mm",(-0.674317161672497+472.61493062248*T$19)/(1 + 61.1678061693514*T$19 + -70.1563909237953*T$19^2)*1.585,IF($J73="Einschraub Einlass 13 mm",(-0.674317161672497+472.61493062248*T$19)/(1 + 61.1678061693514*T$19 + -70.1563909237953*T$19^2)*3.982)))</f>
        <v>8.9694355584231236</v>
      </c>
      <c r="AJ73">
        <f>IF($J73="Einschraub Einlass 8 mm",(-0.674317161672497+472.61493062248*U$19)/(1 + 61.1678061693514*U$19 + -70.1563909237953*U$19^2),IF($J73="Einschraub Einlass 10 mm",(-0.674317161672497+472.61493062248*U$19)/(1 + 61.1678061693514*U$19 + -70.1563909237953*U$19^2)*1.585,IF($J73="Einschraub Einlass 13 mm",(-0.674317161672497+472.61493062248*U$19)/(1 + 61.1678061693514*U$19 + -70.1563909237953*U$19^2)*3.982)))</f>
        <v>9.370576054085678</v>
      </c>
      <c r="AK73">
        <f>IF($J73="Einschraub Einlass 8 mm",(-0.674317161672497+472.61493062248*V$19)/(1 + 61.1678061693514*V$19 + -70.1563909237953*V$19^2),IF($J73="Einschraub Einlass 10 mm",(-0.674317161672497+472.61493062248*V$19)/(1 + 61.1678061693514*V$19 + -70.1563909237953*V$19^2)*1.585,IF($J73="Einschraub Einlass 13 mm",(-0.674317161672497+472.61493062248*V$19)/(1 + 61.1678061693514*V$19 + -70.1563909237953*V$19^2)*3.982)))</f>
        <v>9.7209867778207943</v>
      </c>
      <c r="AL73">
        <f>IF($J73="Einschraub Einlass 8 mm",(-0.674317161672497+472.61493062248*W$19)/(1 + 61.1678061693514*W$19 + -70.1563909237953*W$19^2),IF($J73="Einschraub Einlass 10 mm",(-0.674317161672497+472.61493062248*W$19)/(1 + 61.1678061693514*W$19 + -70.1563909237953*W$19^2)*1.585,IF($J73="Einschraub Einlass 13 mm",(-0.674317161672497+472.61493062248*W$19)/(1 + 61.1678061693514*W$19 + -70.1563909237953*W$19^2)*3.982)))</f>
        <v>10.032690124766633</v>
      </c>
      <c r="AM73">
        <f>IF($J73="Einschraub Einlass 8 mm",(-0.674317161672497+472.61493062248*X$19)/(1 + 61.1678061693514*X$19 + -70.1563909237953*X$19^2),IF($J73="Einschraub Einlass 10 mm",(-0.674317161672497+472.61493062248*X$19)/(1 + 61.1678061693514*X$19 + -70.1563909237953*X$19^2)*1.585,IF($J73="Einschraub Einlass 13 mm",(-0.674317161672497+472.61493062248*X$19)/(1 + 61.1678061693514*X$19 + -70.1563909237953*X$19^2)*3.982)))</f>
        <v>10.31428447414692</v>
      </c>
      <c r="AN73">
        <f>IF($J73="Einschraub Einlass 8 mm",(-0.674317161672497+472.61493062248*Y$19)/(1 + 61.1678061693514*Y$19 + -70.1563909237953*Y$19^2),IF($J73="Einschraub Einlass 10 mm",(-0.674317161672497+472.61493062248*Y$19)/(1 + 61.1678061693514*Y$19 + -70.1563909237953*Y$19^2)*1.585,IF($J73="Einschraub Einlass 13 mm",(-0.674317161672497+472.61493062248*Y$19)/(1 + 61.1678061693514*Y$19 + -70.1563909237953*Y$19^2)*3.982)))</f>
        <v>10.572085159851511</v>
      </c>
      <c r="AQ73">
        <v>50</v>
      </c>
      <c r="AR73" s="14">
        <v>4.6696548918591345</v>
      </c>
      <c r="AS73" s="13">
        <f t="shared" si="16"/>
        <v>45712.873974518501</v>
      </c>
      <c r="AT73" s="9">
        <v>3.6293167802248862</v>
      </c>
      <c r="AU73" s="13">
        <f t="shared" si="17"/>
        <v>35528.642786270866</v>
      </c>
    </row>
    <row r="74" spans="1:47" x14ac:dyDescent="0.35">
      <c r="A74">
        <f t="shared" si="12"/>
        <v>51</v>
      </c>
      <c r="B74" s="13">
        <f t="shared" si="13"/>
        <v>45699.707770514622</v>
      </c>
      <c r="F74">
        <f t="shared" si="14"/>
        <v>51</v>
      </c>
      <c r="G74" s="13">
        <f t="shared" si="15"/>
        <v>35510.598557060664</v>
      </c>
      <c r="I74" s="1">
        <v>4</v>
      </c>
      <c r="J74" t="s">
        <v>31</v>
      </c>
      <c r="K74">
        <f>IF(J74="Einschraub Auslass 8 mm",8,IF(J74="Einschraub Auslass 10 mm",10,IF(J74="Einschraub Auslass 13 mm",13)))</f>
        <v>10</v>
      </c>
      <c r="L74" s="4" t="s">
        <v>12</v>
      </c>
      <c r="M74" s="1">
        <v>0</v>
      </c>
      <c r="N74" s="10">
        <f>IF(N$19*1000^2/($M$16*($K74/2000)^2*PI())*($K74/1000)/$O$16&lt;2320,(64*25*1000*$M$16*(N$19/($M$16*($K74/2000)^2*PI()))^2)/((N$19*1000^2/($M$16*($K74/2000)^2*PI())*($K74/1000)/$O$16)*1000*$K74*2)*AC74,(0.3164*25*1000*$M$16*(N$19/($M$16*($K74/2000)^2*PI()))^2)/(((N$19*1000^2/($M$16*($K74/2000)^2*PI())*($K74/1000)/$O$16))^0.25*1000*$K74*2)*AC74)</f>
        <v>10.114180501918092</v>
      </c>
      <c r="O74" s="10">
        <f>IF(O$19*1000^2/($M$16*($K74/2000)^2*PI())*($K74/1000)/$O$16&lt;2320,(64*25*1000*$M$16*(O$19/($M$16*($K74/2000)^2*PI()))^2)/((O$19*1000^2/($M$16*($K74/2000)^2*PI())*($K74/1000)/$O$16)*1000*$K74*2)*AD74,(0.3164*25*1000*$M$16*(O$19/($M$16*($K74/2000)^2*PI()))^2)/(((O$19*1000^2/($M$16*($K74/2000)^2*PI())*($K74/1000)/$O$16))^0.25*1000*$K74*2)*AD74)</f>
        <v>36.960555436849951</v>
      </c>
      <c r="P74" s="10">
        <f>IF(P$19*1000^2/($M$16*($K74/2000)^2*PI())*($K74/1000)/$O$16&lt;2320,(64*25*1000*$M$16*(P$19/($M$16*($K74/2000)^2*PI()))^2)/((P$19*1000^2/($M$16*($K74/2000)^2*PI())*($K74/1000)/$O$16)*1000*$K74*2)*AE74,(0.3164*25*1000*$M$16*(P$19/($M$16*($K74/2000)^2*PI()))^2)/(((P$19*1000^2/($M$16*($K74/2000)^2*PI())*($K74/1000)/$O$16))^0.25*1000*$K74*2)*AE74)</f>
        <v>75.590352599303699</v>
      </c>
      <c r="Q74" s="10">
        <f>IF(Q$19*1000^2/($M$16*($K74/2000)^2*PI())*($K74/1000)/$O$16&lt;2320,(64*25*1000*$M$16*(Q$19/($M$16*($K74/2000)^2*PI()))^2)/((Q$19*1000^2/($M$16*($K74/2000)^2*PI())*($K74/1000)/$O$16)*1000*$K74*2)*AF74,(0.3164*25*1000*$M$16*(Q$19/($M$16*($K74/2000)^2*PI()))^2)/(((Q$19*1000^2/($M$16*($K74/2000)^2*PI())*($K74/1000)/$O$16))^0.25*1000*$K74*2)*AF74)</f>
        <v>126.80095418312025</v>
      </c>
      <c r="R74" s="10">
        <f>IF(R$19*1000^2/($M$16*($K74/2000)^2*PI())*($K74/1000)/$O$16&lt;2320,(64*25*1000*$M$16*(R$19/($M$16*($K74/2000)^2*PI()))^2)/((R$19*1000^2/($M$16*($K74/2000)^2*PI())*($K74/1000)/$O$16)*1000*$K74*2)*AG74,(0.3164*25*1000*$M$16*(R$19/($M$16*($K74/2000)^2*PI()))^2)/(((R$19*1000^2/($M$16*($K74/2000)^2*PI())*($K74/1000)/$O$16))^0.25*1000*$K74*2)*AG74)</f>
        <v>190.30653956374766</v>
      </c>
      <c r="S74" s="10">
        <f>IF(S$19*1000^2/($M$16*($K74/2000)^2*PI())*($K74/1000)/$O$16&lt;2320,(64*25*1000*$M$16*(S$19/($M$16*($K74/2000)^2*PI()))^2)/((S$19*1000^2/($M$16*($K74/2000)^2*PI())*($K74/1000)/$O$16)*1000*$K74*2)*AH74,(0.3164*25*1000*$M$16*(S$19/($M$16*($K74/2000)^2*PI()))^2)/(((S$19*1000^2/($M$16*($K74/2000)^2*PI())*($K74/1000)/$O$16))^0.25*1000*$K74*2)*AH74)</f>
        <v>266.01970788243807</v>
      </c>
      <c r="T74" s="10">
        <f>IF(T$19*1000^2/($M$16*($K74/2000)^2*PI())*($K74/1000)/$O$16&lt;2320,(64*25*1000*$M$16*(T$19/($M$16*($K74/2000)^2*PI()))^2)/((T$19*1000^2/($M$16*($K74/2000)^2*PI())*($K74/1000)/$O$16)*1000*$K74*2)*AI74,(0.3164*25*1000*$M$16*(T$19/($M$16*($K74/2000)^2*PI()))^2)/(((T$19*1000^2/($M$16*($K74/2000)^2*PI())*($K74/1000)/$O$16))^0.25*1000*$K74*2)*AI74)</f>
        <v>353.98305043335023</v>
      </c>
      <c r="U74" s="10">
        <f>IF(U$19*1000^2/($M$16*($K74/2000)^2*PI())*($K74/1000)/$O$16&lt;2320,(64*25*1000*$M$16*(U$19/($M$16*($K74/2000)^2*PI()))^2)/((U$19*1000^2/($M$16*($K74/2000)^2*PI())*($K74/1000)/$O$16)*1000*$K74*2)*AJ74,(0.3164*25*1000*$M$16*(U$19/($M$16*($K74/2000)^2*PI()))^2)/(((U$19*1000^2/($M$16*($K74/2000)^2*PI())*($K74/1000)/$O$16))^0.25*1000*$K74*2)*AJ74)</f>
        <v>454.33319010800898</v>
      </c>
      <c r="V74" s="10">
        <f>IF(V$19*1000^2/($M$16*($K74/2000)^2*PI())*($K74/1000)/$O$16&lt;2320,(64*25*1000*$M$16*(V$19/($M$16*($K74/2000)^2*PI()))^2)/((V$19*1000^2/($M$16*($K74/2000)^2*PI())*($K74/1000)/$O$16)*1000*$K74*2)*AK74,(0.3164*25*1000*$M$16*(V$19/($M$16*($K74/2000)^2*PI()))^2)/(((V$19*1000^2/($M$16*($K74/2000)^2*PI())*($K74/1000)/$O$16))^0.25*1000*$K74*2)*AK74)</f>
        <v>567.28054861421845</v>
      </c>
      <c r="W74" s="10">
        <f>IF(W$19*1000^2/($M$16*($K74/2000)^2*PI())*($K74/1000)/$O$16&lt;2320,(64*25*1000*$M$16*(W$19/($M$16*($K74/2000)^2*PI()))^2)/((W$19*1000^2/($M$16*($K74/2000)^2*PI())*($K74/1000)/$O$16)*1000*$K74*2)*AL74,(0.3164*25*1000*$M$16*(W$19/($M$16*($K74/2000)^2*PI()))^2)/(((W$19*1000^2/($M$16*($K74/2000)^2*PI())*($K74/1000)/$O$16))^0.25*1000*$K74*2)*AL74)</f>
        <v>693.09746065116508</v>
      </c>
      <c r="X74" s="10">
        <f>IF(X$19*1000^2/($M$16*($K74/2000)^2*PI())*($K74/1000)/$O$16&lt;2320,(64*25*1000*$M$16*(X$19/($M$16*($K74/2000)^2*PI()))^2)/((X$19*1000^2/($M$16*($K74/2000)^2*PI())*($K74/1000)/$O$16)*1000*$K74*2)*AM74,(0.3164*25*1000*$M$16*(X$19/($M$16*($K74/2000)^2*PI()))^2)/(((X$19*1000^2/($M$16*($K74/2000)^2*PI())*($K74/1000)/$O$16))^0.25*1000*$K74*2)*AM74)</f>
        <v>832.11109611483084</v>
      </c>
      <c r="Y74" s="10">
        <f>IF(Y$19*1000^2/($M$16*($K74/2000)^2*PI())*($K74/1000)/$O$16&lt;2320,(64*25*1000*$M$16*(Y$19/($M$16*($K74/2000)^2*PI()))^2)/((Y$19*1000^2/($M$16*($K74/2000)^2*PI())*($K74/1000)/$O$16)*1000*$K74*2)*AN74,(0.3164*25*1000*$M$16*(Y$19/($M$16*($K74/2000)^2*PI()))^2)/(((Y$19*1000^2/($M$16*($K74/2000)^2*PI())*($K74/1000)/$O$16))^0.25*1000*$K74*2)*AN74)</f>
        <v>984.6993592209634</v>
      </c>
      <c r="AB74">
        <f>IF($J74="Einschraub Auslass 8 mm",(-0.0288193682407218+3616.60902410213*M$19)/(1+212.818202316404*M$19+-461.039165146899*M$19^2),IF($J74="Einschraub Auslass 10 mm",(-0.0288193682407218+3616.60902410213*M$19)/(1+212.818202316404*M$19+-461.039165146899*M$19^2)*1.585,IF($J74="Einschraub Auslass 13 mm",(-0.0288193682407218+3616.60902410213*M$19)/(1+212.818202316404*M$19+-461.039165146899*M$19^2)*3.982)))</f>
        <v>-4.5678698661544052E-2</v>
      </c>
      <c r="AC74">
        <f>IF($J74="Einschraub Auslass 8 mm",(-0.0288193682407218+3616.60902410213*N$19)/(1+212.818202316404*N$19+-461.039165146899*N$19^2),IF($J74="Einschraub Auslass 10 mm",(-0.0288193682407218+3616.60902410213*N$19)/(1+212.818202316404*N$19+-461.039165146899*N$19^2)*1.585,IF($J74="Einschraub Auslass 13 mm",(-0.0288193682407218+3616.60902410213*N$19)/(1+212.818202316404*N$19+-461.039165146899*N$19^2)*3.982)))</f>
        <v>17.138890157626562</v>
      </c>
      <c r="AD74">
        <f>IF($J74="Einschraub Auslass 8 mm",(-0.0288193682407218+3616.60902410213*O$19)/(1+212.818202316404*O$19+-461.039165146899*O$19^2),IF($J74="Einschraub Auslass 10 mm",(-0.0288193682407218+3616.60902410213*O$19)/(1+212.818202316404*O$19+-461.039165146899*O$19^2)*1.585,IF($J74="Einschraub Auslass 13 mm",(-0.0288193682407218+3616.60902410213*O$19)/(1+212.818202316404*O$19+-461.039165146899*O$19^2)*3.982)))</f>
        <v>20.623552477336041</v>
      </c>
      <c r="AE74">
        <f>IF($J74="Einschraub Auslass 8 mm",(-0.0288193682407218+3616.60902410213*P$19)/(1+212.818202316404*P$19+-461.039165146899*P$19^2),IF($J74="Einschraub Auslass 10 mm",(-0.0288193682407218+3616.60902410213*P$19)/(1+212.818202316404*P$19+-461.039165146899*P$19^2)*1.585,IF($J74="Einschraub Auslass 13 mm",(-0.0288193682407218+3616.60902410213*P$19)/(1+212.818202316404*P$19+-461.039165146899*P$19^2)*3.982)))</f>
        <v>22.595030306536888</v>
      </c>
      <c r="AF74">
        <f>IF($J74="Einschraub Auslass 8 mm",(-0.0288193682407218+3616.60902410213*Q$19)/(1+212.818202316404*Q$19+-461.039165146899*Q$19^2),IF($J74="Einschraub Auslass 10 mm",(-0.0288193682407218+3616.60902410213*Q$19)/(1+212.818202316404*Q$19+-461.039165146899*Q$19^2)*1.585,IF($J74="Einschraub Auslass 13 mm",(-0.0288193682407218+3616.60902410213*Q$19)/(1+212.818202316404*Q$19+-461.039165146899*Q$19^2)*3.982)))</f>
        <v>23.94794279862252</v>
      </c>
      <c r="AG74">
        <f>IF($J74="Einschraub Auslass 8 mm",(-0.0288193682407218+3616.60902410213*R$19)/(1+212.818202316404*R$19+-461.039165146899*R$19^2),IF($J74="Einschraub Auslass 10 mm",(-0.0288193682407218+3616.60902410213*R$19)/(1+212.818202316404*R$19+-461.039165146899*R$19^2)*1.585,IF($J74="Einschraub Auslass 13 mm",(-0.0288193682407218+3616.60902410213*R$19)/(1+212.818202316404*R$19+-461.039165146899*R$19^2)*3.982)))</f>
        <v>24.991383545066636</v>
      </c>
      <c r="AH74">
        <f>IF($J74="Einschraub Auslass 8 mm",(-0.0288193682407218+3616.60902410213*S$19)/(1+212.818202316404*S$19+-461.039165146899*S$19^2),IF($J74="Einschraub Auslass 10 mm",(-0.0288193682407218+3616.60902410213*S$19)/(1+212.818202316404*S$19+-461.039165146899*S$19^2)*1.585,IF($J74="Einschraub Auslass 13 mm",(-0.0288193682407218+3616.60902410213*S$19)/(1+212.818202316404*S$19+-461.039165146899*S$19^2)*3.982)))</f>
        <v>25.860776895449572</v>
      </c>
      <c r="AI74">
        <f>IF($J74="Einschraub Auslass 8 mm",(-0.0288193682407218+3616.60902410213*T$19)/(1+212.818202316404*T$19+-461.039165146899*T$19^2),IF($J74="Einschraub Auslass 10 mm",(-0.0288193682407218+3616.60902410213*T$19)/(1+212.818202316404*T$19+-461.039165146899*T$19^2)*1.585,IF($J74="Einschraub Auslass 13 mm",(-0.0288193682407218+3616.60902410213*T$19)/(1+212.818202316404*T$19+-461.039165146899*T$19^2)*3.982)))</f>
        <v>26.624982625136834</v>
      </c>
      <c r="AJ74">
        <f>IF($J74="Einschraub Auslass 8 mm",(-0.0288193682407218+3616.60902410213*U$19)/(1+212.818202316404*U$19+-461.039165146899*U$19^2),IF($J74="Einschraub Auslass 10 mm",(-0.0288193682407218+3616.60902410213*U$19)/(1+212.818202316404*U$19+-461.039165146899*U$19^2)*1.585,IF($J74="Einschraub Auslass 13 mm",(-0.0288193682407218+3616.60902410213*U$19)/(1+212.818202316404*U$19+-461.039165146899*U$19^2)*3.982)))</f>
        <v>27.32285051361735</v>
      </c>
      <c r="AK74">
        <f>IF($J74="Einschraub Auslass 8 mm",(-0.0288193682407218+3616.60902410213*V$19)/(1+212.818202316404*V$19+-461.039165146899*V$19^2),IF($J74="Einschraub Auslass 10 mm",(-0.0288193682407218+3616.60902410213*V$19)/(1+212.818202316404*V$19+-461.039165146899*V$19^2)*1.585,IF($J74="Einschraub Auslass 13 mm",(-0.0288193682407218+3616.60902410213*V$19)/(1+212.818202316404*V$19+-461.039165146899*V$19^2)*3.982)))</f>
        <v>27.978079155585135</v>
      </c>
      <c r="AL74">
        <f>IF($J74="Einschraub Auslass 8 mm",(-0.0288193682407218+3616.60902410213*W$19)/(1+212.818202316404*W$19+-461.039165146899*W$19^2),IF($J74="Einschraub Auslass 10 mm",(-0.0288193682407218+3616.60902410213*W$19)/(1+212.818202316404*W$19+-461.039165146899*W$19^2)*1.585,IF($J74="Einschraub Auslass 13 mm",(-0.0288193682407218+3616.60902410213*W$19)/(1+212.818202316404*W$19+-461.039165146899*W$19^2)*3.982)))</f>
        <v>28.606050468290555</v>
      </c>
      <c r="AM74">
        <f>IF($J74="Einschraub Auslass 8 mm",(-0.0288193682407218+3616.60902410213*X$19)/(1+212.818202316404*X$19+-461.039165146899*X$19^2),IF($J74="Einschraub Auslass 10 mm",(-0.0288193682407218+3616.60902410213*X$19)/(1+212.818202316404*X$19+-461.039165146899*X$19^2)*1.585,IF($J74="Einschraub Auslass 13 mm",(-0.0288193682407218+3616.60902410213*X$19)/(1+212.818202316404*X$19+-461.039165146899*X$19^2)*3.982)))</f>
        <v>29.21727885245237</v>
      </c>
      <c r="AN74">
        <f>IF($J74="Einschraub Auslass 8 mm",(-0.0288193682407218+3616.60902410213*Y$19)/(1+212.818202316404*Y$19+-461.039165146899*Y$19^2),IF($J74="Einschraub Auslass 10 mm",(-0.0288193682407218+3616.60902410213*Y$19)/(1+212.818202316404*Y$19+-461.039165146899*Y$19^2)*1.585,IF($J74="Einschraub Auslass 13 mm",(-0.0288193682407218+3616.60902410213*Y$19)/(1+212.818202316404*Y$19+-461.039165146899*Y$19^2)*3.982)))</f>
        <v>29.819282898096713</v>
      </c>
      <c r="AQ74">
        <v>51</v>
      </c>
      <c r="AR74" s="14">
        <v>4.6683099396916514</v>
      </c>
      <c r="AS74" s="13">
        <f t="shared" si="16"/>
        <v>45699.707770514622</v>
      </c>
      <c r="AT74" s="9">
        <v>3.627473528731922</v>
      </c>
      <c r="AU74" s="13">
        <f t="shared" si="17"/>
        <v>35510.598557060664</v>
      </c>
    </row>
    <row r="75" spans="1:47" x14ac:dyDescent="0.35">
      <c r="A75">
        <f t="shared" si="12"/>
        <v>52</v>
      </c>
      <c r="B75" s="13">
        <f t="shared" si="13"/>
        <v>45686.230734749697</v>
      </c>
      <c r="F75">
        <f t="shared" si="14"/>
        <v>52</v>
      </c>
      <c r="G75" s="13">
        <f t="shared" si="15"/>
        <v>35492.447866712726</v>
      </c>
      <c r="I75" s="1">
        <v>5</v>
      </c>
      <c r="J75" t="s">
        <v>31</v>
      </c>
      <c r="K75">
        <f t="shared" ref="K75:K76" si="21">IF(J75="Einschraub Auslass 8 mm",8,IF(J75="Einschraub Auslass 10 mm",10,IF(J75="Einschraub Auslass 13 mm",13)))</f>
        <v>10</v>
      </c>
      <c r="L75" s="4" t="s">
        <v>12</v>
      </c>
      <c r="M75" s="1">
        <v>0</v>
      </c>
      <c r="N75" s="10">
        <f>IF(N$19*1000^2/($M$16*($K75/2000)^2*PI())*($K75/1000)/$O$16&lt;2320,(64*25*1000*$M$16*(N$19/($M$16*($K75/2000)^2*PI()))^2)/((N$19*1000^2/($M$16*($K75/2000)^2*PI())*($K75/1000)/$O$16)*1000*$K75*2)*AC75,(0.3164*25*1000*$M$16*(N$19/($M$16*($K75/2000)^2*PI()))^2)/(((N$19*1000^2/($M$16*($K75/2000)^2*PI())*($K75/1000)/$O$16))^0.25*1000*$K75*2)*AC75)</f>
        <v>10.114180501918092</v>
      </c>
      <c r="O75" s="10">
        <f>IF(O$19*1000^2/($M$16*($K75/2000)^2*PI())*($K75/1000)/$O$16&lt;2320,(64*25*1000*$M$16*(O$19/($M$16*($K75/2000)^2*PI()))^2)/((O$19*1000^2/($M$16*($K75/2000)^2*PI())*($K75/1000)/$O$16)*1000*$K75*2)*AD75,(0.3164*25*1000*$M$16*(O$19/($M$16*($K75/2000)^2*PI()))^2)/(((O$19*1000^2/($M$16*($K75/2000)^2*PI())*($K75/1000)/$O$16))^0.25*1000*$K75*2)*AD75)</f>
        <v>36.960555436849951</v>
      </c>
      <c r="P75" s="10">
        <f>IF(P$19*1000^2/($M$16*($K75/2000)^2*PI())*($K75/1000)/$O$16&lt;2320,(64*25*1000*$M$16*(P$19/($M$16*($K75/2000)^2*PI()))^2)/((P$19*1000^2/($M$16*($K75/2000)^2*PI())*($K75/1000)/$O$16)*1000*$K75*2)*AE75,(0.3164*25*1000*$M$16*(P$19/($M$16*($K75/2000)^2*PI()))^2)/(((P$19*1000^2/($M$16*($K75/2000)^2*PI())*($K75/1000)/$O$16))^0.25*1000*$K75*2)*AE75)</f>
        <v>75.590352599303699</v>
      </c>
      <c r="Q75" s="10">
        <f>IF(Q$19*1000^2/($M$16*($K75/2000)^2*PI())*($K75/1000)/$O$16&lt;2320,(64*25*1000*$M$16*(Q$19/($M$16*($K75/2000)^2*PI()))^2)/((Q$19*1000^2/($M$16*($K75/2000)^2*PI())*($K75/1000)/$O$16)*1000*$K75*2)*AF75,(0.3164*25*1000*$M$16*(Q$19/($M$16*($K75/2000)^2*PI()))^2)/(((Q$19*1000^2/($M$16*($K75/2000)^2*PI())*($K75/1000)/$O$16))^0.25*1000*$K75*2)*AF75)</f>
        <v>126.80095418312025</v>
      </c>
      <c r="R75" s="10">
        <f>IF(R$19*1000^2/($M$16*($K75/2000)^2*PI())*($K75/1000)/$O$16&lt;2320,(64*25*1000*$M$16*(R$19/($M$16*($K75/2000)^2*PI()))^2)/((R$19*1000^2/($M$16*($K75/2000)^2*PI())*($K75/1000)/$O$16)*1000*$K75*2)*AG75,(0.3164*25*1000*$M$16*(R$19/($M$16*($K75/2000)^2*PI()))^2)/(((R$19*1000^2/($M$16*($K75/2000)^2*PI())*($K75/1000)/$O$16))^0.25*1000*$K75*2)*AG75)</f>
        <v>190.30653956374766</v>
      </c>
      <c r="S75" s="10">
        <f>IF(S$19*1000^2/($M$16*($K75/2000)^2*PI())*($K75/1000)/$O$16&lt;2320,(64*25*1000*$M$16*(S$19/($M$16*($K75/2000)^2*PI()))^2)/((S$19*1000^2/($M$16*($K75/2000)^2*PI())*($K75/1000)/$O$16)*1000*$K75*2)*AH75,(0.3164*25*1000*$M$16*(S$19/($M$16*($K75/2000)^2*PI()))^2)/(((S$19*1000^2/($M$16*($K75/2000)^2*PI())*($K75/1000)/$O$16))^0.25*1000*$K75*2)*AH75)</f>
        <v>266.01970788243807</v>
      </c>
      <c r="T75" s="10">
        <f>IF(T$19*1000^2/($M$16*($K75/2000)^2*PI())*($K75/1000)/$O$16&lt;2320,(64*25*1000*$M$16*(T$19/($M$16*($K75/2000)^2*PI()))^2)/((T$19*1000^2/($M$16*($K75/2000)^2*PI())*($K75/1000)/$O$16)*1000*$K75*2)*AI75,(0.3164*25*1000*$M$16*(T$19/($M$16*($K75/2000)^2*PI()))^2)/(((T$19*1000^2/($M$16*($K75/2000)^2*PI())*($K75/1000)/$O$16))^0.25*1000*$K75*2)*AI75)</f>
        <v>353.98305043335023</v>
      </c>
      <c r="U75" s="10">
        <f>IF(U$19*1000^2/($M$16*($K75/2000)^2*PI())*($K75/1000)/$O$16&lt;2320,(64*25*1000*$M$16*(U$19/($M$16*($K75/2000)^2*PI()))^2)/((U$19*1000^2/($M$16*($K75/2000)^2*PI())*($K75/1000)/$O$16)*1000*$K75*2)*AJ75,(0.3164*25*1000*$M$16*(U$19/($M$16*($K75/2000)^2*PI()))^2)/(((U$19*1000^2/($M$16*($K75/2000)^2*PI())*($K75/1000)/$O$16))^0.25*1000*$K75*2)*AJ75)</f>
        <v>454.33319010800898</v>
      </c>
      <c r="V75" s="10">
        <f>IF(V$19*1000^2/($M$16*($K75/2000)^2*PI())*($K75/1000)/$O$16&lt;2320,(64*25*1000*$M$16*(V$19/($M$16*($K75/2000)^2*PI()))^2)/((V$19*1000^2/($M$16*($K75/2000)^2*PI())*($K75/1000)/$O$16)*1000*$K75*2)*AK75,(0.3164*25*1000*$M$16*(V$19/($M$16*($K75/2000)^2*PI()))^2)/(((V$19*1000^2/($M$16*($K75/2000)^2*PI())*($K75/1000)/$O$16))^0.25*1000*$K75*2)*AK75)</f>
        <v>567.28054861421845</v>
      </c>
      <c r="W75" s="10">
        <f>IF(W$19*1000^2/($M$16*($K75/2000)^2*PI())*($K75/1000)/$O$16&lt;2320,(64*25*1000*$M$16*(W$19/($M$16*($K75/2000)^2*PI()))^2)/((W$19*1000^2/($M$16*($K75/2000)^2*PI())*($K75/1000)/$O$16)*1000*$K75*2)*AL75,(0.3164*25*1000*$M$16*(W$19/($M$16*($K75/2000)^2*PI()))^2)/(((W$19*1000^2/($M$16*($K75/2000)^2*PI())*($K75/1000)/$O$16))^0.25*1000*$K75*2)*AL75)</f>
        <v>693.09746065116508</v>
      </c>
      <c r="X75" s="10">
        <f>IF(X$19*1000^2/($M$16*($K75/2000)^2*PI())*($K75/1000)/$O$16&lt;2320,(64*25*1000*$M$16*(X$19/($M$16*($K75/2000)^2*PI()))^2)/((X$19*1000^2/($M$16*($K75/2000)^2*PI())*($K75/1000)/$O$16)*1000*$K75*2)*AM75,(0.3164*25*1000*$M$16*(X$19/($M$16*($K75/2000)^2*PI()))^2)/(((X$19*1000^2/($M$16*($K75/2000)^2*PI())*($K75/1000)/$O$16))^0.25*1000*$K75*2)*AM75)</f>
        <v>832.11109611483084</v>
      </c>
      <c r="Y75" s="10">
        <f>IF(Y$19*1000^2/($M$16*($K75/2000)^2*PI())*($K75/1000)/$O$16&lt;2320,(64*25*1000*$M$16*(Y$19/($M$16*($K75/2000)^2*PI()))^2)/((Y$19*1000^2/($M$16*($K75/2000)^2*PI())*($K75/1000)/$O$16)*1000*$K75*2)*AN75,(0.3164*25*1000*$M$16*(Y$19/($M$16*($K75/2000)^2*PI()))^2)/(((Y$19*1000^2/($M$16*($K75/2000)^2*PI())*($K75/1000)/$O$16))^0.25*1000*$K75*2)*AN75)</f>
        <v>984.6993592209634</v>
      </c>
      <c r="AB75">
        <f>IF($J75="Einschraub Auslass 8 mm",(-0.0288193682407218+3616.60902410213*M$19)/(1+212.818202316404*M$19+-461.039165146899*M$19^2),IF($J75="Einschraub Auslass 10 mm",(-0.0288193682407218+3616.60902410213*M$19)/(1+212.818202316404*M$19+-461.039165146899*M$19^2)*1.585,IF($J75="Einschraub Auslass 13 mm",(-0.0288193682407218+3616.60902410213*M$19)/(1+212.818202316404*M$19+-461.039165146899*M$19^2)*3.982)))</f>
        <v>-4.5678698661544052E-2</v>
      </c>
      <c r="AC75">
        <f>IF($J75="Einschraub Auslass 8 mm",(-0.0288193682407218+3616.60902410213*N$19)/(1+212.818202316404*N$19+-461.039165146899*N$19^2),IF($J75="Einschraub Auslass 10 mm",(-0.0288193682407218+3616.60902410213*N$19)/(1+212.818202316404*N$19+-461.039165146899*N$19^2)*1.585,IF($J75="Einschraub Auslass 13 mm",(-0.0288193682407218+3616.60902410213*N$19)/(1+212.818202316404*N$19+-461.039165146899*N$19^2)*3.982)))</f>
        <v>17.138890157626562</v>
      </c>
      <c r="AD75">
        <f>IF($J75="Einschraub Auslass 8 mm",(-0.0288193682407218+3616.60902410213*O$19)/(1+212.818202316404*O$19+-461.039165146899*O$19^2),IF($J75="Einschraub Auslass 10 mm",(-0.0288193682407218+3616.60902410213*O$19)/(1+212.818202316404*O$19+-461.039165146899*O$19^2)*1.585,IF($J75="Einschraub Auslass 13 mm",(-0.0288193682407218+3616.60902410213*O$19)/(1+212.818202316404*O$19+-461.039165146899*O$19^2)*3.982)))</f>
        <v>20.623552477336041</v>
      </c>
      <c r="AE75">
        <f>IF($J75="Einschraub Auslass 8 mm",(-0.0288193682407218+3616.60902410213*P$19)/(1+212.818202316404*P$19+-461.039165146899*P$19^2),IF($J75="Einschraub Auslass 10 mm",(-0.0288193682407218+3616.60902410213*P$19)/(1+212.818202316404*P$19+-461.039165146899*P$19^2)*1.585,IF($J75="Einschraub Auslass 13 mm",(-0.0288193682407218+3616.60902410213*P$19)/(1+212.818202316404*P$19+-461.039165146899*P$19^2)*3.982)))</f>
        <v>22.595030306536888</v>
      </c>
      <c r="AF75">
        <f>IF($J75="Einschraub Auslass 8 mm",(-0.0288193682407218+3616.60902410213*Q$19)/(1+212.818202316404*Q$19+-461.039165146899*Q$19^2),IF($J75="Einschraub Auslass 10 mm",(-0.0288193682407218+3616.60902410213*Q$19)/(1+212.818202316404*Q$19+-461.039165146899*Q$19^2)*1.585,IF($J75="Einschraub Auslass 13 mm",(-0.0288193682407218+3616.60902410213*Q$19)/(1+212.818202316404*Q$19+-461.039165146899*Q$19^2)*3.982)))</f>
        <v>23.94794279862252</v>
      </c>
      <c r="AG75">
        <f>IF($J75="Einschraub Auslass 8 mm",(-0.0288193682407218+3616.60902410213*R$19)/(1+212.818202316404*R$19+-461.039165146899*R$19^2),IF($J75="Einschraub Auslass 10 mm",(-0.0288193682407218+3616.60902410213*R$19)/(1+212.818202316404*R$19+-461.039165146899*R$19^2)*1.585,IF($J75="Einschraub Auslass 13 mm",(-0.0288193682407218+3616.60902410213*R$19)/(1+212.818202316404*R$19+-461.039165146899*R$19^2)*3.982)))</f>
        <v>24.991383545066636</v>
      </c>
      <c r="AH75">
        <f>IF($J75="Einschraub Auslass 8 mm",(-0.0288193682407218+3616.60902410213*S$19)/(1+212.818202316404*S$19+-461.039165146899*S$19^2),IF($J75="Einschraub Auslass 10 mm",(-0.0288193682407218+3616.60902410213*S$19)/(1+212.818202316404*S$19+-461.039165146899*S$19^2)*1.585,IF($J75="Einschraub Auslass 13 mm",(-0.0288193682407218+3616.60902410213*S$19)/(1+212.818202316404*S$19+-461.039165146899*S$19^2)*3.982)))</f>
        <v>25.860776895449572</v>
      </c>
      <c r="AI75">
        <f>IF($J75="Einschraub Auslass 8 mm",(-0.0288193682407218+3616.60902410213*T$19)/(1+212.818202316404*T$19+-461.039165146899*T$19^2),IF($J75="Einschraub Auslass 10 mm",(-0.0288193682407218+3616.60902410213*T$19)/(1+212.818202316404*T$19+-461.039165146899*T$19^2)*1.585,IF($J75="Einschraub Auslass 13 mm",(-0.0288193682407218+3616.60902410213*T$19)/(1+212.818202316404*T$19+-461.039165146899*T$19^2)*3.982)))</f>
        <v>26.624982625136834</v>
      </c>
      <c r="AJ75">
        <f>IF($J75="Einschraub Auslass 8 mm",(-0.0288193682407218+3616.60902410213*U$19)/(1+212.818202316404*U$19+-461.039165146899*U$19^2),IF($J75="Einschraub Auslass 10 mm",(-0.0288193682407218+3616.60902410213*U$19)/(1+212.818202316404*U$19+-461.039165146899*U$19^2)*1.585,IF($J75="Einschraub Auslass 13 mm",(-0.0288193682407218+3616.60902410213*U$19)/(1+212.818202316404*U$19+-461.039165146899*U$19^2)*3.982)))</f>
        <v>27.32285051361735</v>
      </c>
      <c r="AK75">
        <f>IF($J75="Einschraub Auslass 8 mm",(-0.0288193682407218+3616.60902410213*V$19)/(1+212.818202316404*V$19+-461.039165146899*V$19^2),IF($J75="Einschraub Auslass 10 mm",(-0.0288193682407218+3616.60902410213*V$19)/(1+212.818202316404*V$19+-461.039165146899*V$19^2)*1.585,IF($J75="Einschraub Auslass 13 mm",(-0.0288193682407218+3616.60902410213*V$19)/(1+212.818202316404*V$19+-461.039165146899*V$19^2)*3.982)))</f>
        <v>27.978079155585135</v>
      </c>
      <c r="AL75">
        <f>IF($J75="Einschraub Auslass 8 mm",(-0.0288193682407218+3616.60902410213*W$19)/(1+212.818202316404*W$19+-461.039165146899*W$19^2),IF($J75="Einschraub Auslass 10 mm",(-0.0288193682407218+3616.60902410213*W$19)/(1+212.818202316404*W$19+-461.039165146899*W$19^2)*1.585,IF($J75="Einschraub Auslass 13 mm",(-0.0288193682407218+3616.60902410213*W$19)/(1+212.818202316404*W$19+-461.039165146899*W$19^2)*3.982)))</f>
        <v>28.606050468290555</v>
      </c>
      <c r="AM75">
        <f>IF($J75="Einschraub Auslass 8 mm",(-0.0288193682407218+3616.60902410213*X$19)/(1+212.818202316404*X$19+-461.039165146899*X$19^2),IF($J75="Einschraub Auslass 10 mm",(-0.0288193682407218+3616.60902410213*X$19)/(1+212.818202316404*X$19+-461.039165146899*X$19^2)*1.585,IF($J75="Einschraub Auslass 13 mm",(-0.0288193682407218+3616.60902410213*X$19)/(1+212.818202316404*X$19+-461.039165146899*X$19^2)*3.982)))</f>
        <v>29.21727885245237</v>
      </c>
      <c r="AN75">
        <f>IF($J75="Einschraub Auslass 8 mm",(-0.0288193682407218+3616.60902410213*Y$19)/(1+212.818202316404*Y$19+-461.039165146899*Y$19^2),IF($J75="Einschraub Auslass 10 mm",(-0.0288193682407218+3616.60902410213*Y$19)/(1+212.818202316404*Y$19+-461.039165146899*Y$19^2)*1.585,IF($J75="Einschraub Auslass 13 mm",(-0.0288193682407218+3616.60902410213*Y$19)/(1+212.818202316404*Y$19+-461.039165146899*Y$19^2)*3.982)))</f>
        <v>29.819282898096713</v>
      </c>
      <c r="AQ75">
        <v>52</v>
      </c>
      <c r="AR75" s="14">
        <v>4.6669332354830608</v>
      </c>
      <c r="AS75" s="13">
        <f t="shared" si="16"/>
        <v>45686.230734749697</v>
      </c>
      <c r="AT75" s="9">
        <v>3.6256194020362091</v>
      </c>
      <c r="AU75" s="13">
        <f t="shared" si="17"/>
        <v>35492.447866712726</v>
      </c>
    </row>
    <row r="76" spans="1:47" x14ac:dyDescent="0.35">
      <c r="A76">
        <f t="shared" si="12"/>
        <v>53</v>
      </c>
      <c r="B76" s="13">
        <f t="shared" si="13"/>
        <v>45672.441718252987</v>
      </c>
      <c r="F76">
        <f t="shared" si="14"/>
        <v>53</v>
      </c>
      <c r="G76" s="13">
        <f t="shared" si="15"/>
        <v>35474.192152679156</v>
      </c>
      <c r="I76" s="1">
        <v>6</v>
      </c>
      <c r="J76" t="s">
        <v>31</v>
      </c>
      <c r="K76">
        <f t="shared" si="21"/>
        <v>10</v>
      </c>
      <c r="L76" s="4" t="s">
        <v>12</v>
      </c>
      <c r="M76" s="1">
        <v>0</v>
      </c>
      <c r="N76" s="10">
        <f>IF(N$19*1000^2/($M$16*($K76/2000)^2*PI())*($K76/1000)/$O$16&lt;2320,(64*25*1000*$M$16*(N$19/($M$16*($K76/2000)^2*PI()))^2)/((N$19*1000^2/($M$16*($K76/2000)^2*PI())*($K76/1000)/$O$16)*1000*$K76*2)*AC76,(0.3164*25*1000*$M$16*(N$19/($M$16*($K76/2000)^2*PI()))^2)/(((N$19*1000^2/($M$16*($K76/2000)^2*PI())*($K76/1000)/$O$16))^0.25*1000*$K76*2)*AC76)</f>
        <v>10.114180501918092</v>
      </c>
      <c r="O76" s="10">
        <f>IF(O$19*1000^2/($M$16*($K76/2000)^2*PI())*($K76/1000)/$O$16&lt;2320,(64*25*1000*$M$16*(O$19/($M$16*($K76/2000)^2*PI()))^2)/((O$19*1000^2/($M$16*($K76/2000)^2*PI())*($K76/1000)/$O$16)*1000*$K76*2)*AD76,(0.3164*25*1000*$M$16*(O$19/($M$16*($K76/2000)^2*PI()))^2)/(((O$19*1000^2/($M$16*($K76/2000)^2*PI())*($K76/1000)/$O$16))^0.25*1000*$K76*2)*AD76)</f>
        <v>36.960555436849951</v>
      </c>
      <c r="P76" s="10">
        <f>IF(P$19*1000^2/($M$16*($K76/2000)^2*PI())*($K76/1000)/$O$16&lt;2320,(64*25*1000*$M$16*(P$19/($M$16*($K76/2000)^2*PI()))^2)/((P$19*1000^2/($M$16*($K76/2000)^2*PI())*($K76/1000)/$O$16)*1000*$K76*2)*AE76,(0.3164*25*1000*$M$16*(P$19/($M$16*($K76/2000)^2*PI()))^2)/(((P$19*1000^2/($M$16*($K76/2000)^2*PI())*($K76/1000)/$O$16))^0.25*1000*$K76*2)*AE76)</f>
        <v>75.590352599303699</v>
      </c>
      <c r="Q76" s="10">
        <f>IF(Q$19*1000^2/($M$16*($K76/2000)^2*PI())*($K76/1000)/$O$16&lt;2320,(64*25*1000*$M$16*(Q$19/($M$16*($K76/2000)^2*PI()))^2)/((Q$19*1000^2/($M$16*($K76/2000)^2*PI())*($K76/1000)/$O$16)*1000*$K76*2)*AF76,(0.3164*25*1000*$M$16*(Q$19/($M$16*($K76/2000)^2*PI()))^2)/(((Q$19*1000^2/($M$16*($K76/2000)^2*PI())*($K76/1000)/$O$16))^0.25*1000*$K76*2)*AF76)</f>
        <v>126.80095418312025</v>
      </c>
      <c r="R76" s="10">
        <f>IF(R$19*1000^2/($M$16*($K76/2000)^2*PI())*($K76/1000)/$O$16&lt;2320,(64*25*1000*$M$16*(R$19/($M$16*($K76/2000)^2*PI()))^2)/((R$19*1000^2/($M$16*($K76/2000)^2*PI())*($K76/1000)/$O$16)*1000*$K76*2)*AG76,(0.3164*25*1000*$M$16*(R$19/($M$16*($K76/2000)^2*PI()))^2)/(((R$19*1000^2/($M$16*($K76/2000)^2*PI())*($K76/1000)/$O$16))^0.25*1000*$K76*2)*AG76)</f>
        <v>190.30653956374766</v>
      </c>
      <c r="S76" s="10">
        <f>IF(S$19*1000^2/($M$16*($K76/2000)^2*PI())*($K76/1000)/$O$16&lt;2320,(64*25*1000*$M$16*(S$19/($M$16*($K76/2000)^2*PI()))^2)/((S$19*1000^2/($M$16*($K76/2000)^2*PI())*($K76/1000)/$O$16)*1000*$K76*2)*AH76,(0.3164*25*1000*$M$16*(S$19/($M$16*($K76/2000)^2*PI()))^2)/(((S$19*1000^2/($M$16*($K76/2000)^2*PI())*($K76/1000)/$O$16))^0.25*1000*$K76*2)*AH76)</f>
        <v>266.01970788243807</v>
      </c>
      <c r="T76" s="10">
        <f>IF(T$19*1000^2/($M$16*($K76/2000)^2*PI())*($K76/1000)/$O$16&lt;2320,(64*25*1000*$M$16*(T$19/($M$16*($K76/2000)^2*PI()))^2)/((T$19*1000^2/($M$16*($K76/2000)^2*PI())*($K76/1000)/$O$16)*1000*$K76*2)*AI76,(0.3164*25*1000*$M$16*(T$19/($M$16*($K76/2000)^2*PI()))^2)/(((T$19*1000^2/($M$16*($K76/2000)^2*PI())*($K76/1000)/$O$16))^0.25*1000*$K76*2)*AI76)</f>
        <v>353.98305043335023</v>
      </c>
      <c r="U76" s="10">
        <f>IF(U$19*1000^2/($M$16*($K76/2000)^2*PI())*($K76/1000)/$O$16&lt;2320,(64*25*1000*$M$16*(U$19/($M$16*($K76/2000)^2*PI()))^2)/((U$19*1000^2/($M$16*($K76/2000)^2*PI())*($K76/1000)/$O$16)*1000*$K76*2)*AJ76,(0.3164*25*1000*$M$16*(U$19/($M$16*($K76/2000)^2*PI()))^2)/(((U$19*1000^2/($M$16*($K76/2000)^2*PI())*($K76/1000)/$O$16))^0.25*1000*$K76*2)*AJ76)</f>
        <v>454.33319010800898</v>
      </c>
      <c r="V76" s="10">
        <f>IF(V$19*1000^2/($M$16*($K76/2000)^2*PI())*($K76/1000)/$O$16&lt;2320,(64*25*1000*$M$16*(V$19/($M$16*($K76/2000)^2*PI()))^2)/((V$19*1000^2/($M$16*($K76/2000)^2*PI())*($K76/1000)/$O$16)*1000*$K76*2)*AK76,(0.3164*25*1000*$M$16*(V$19/($M$16*($K76/2000)^2*PI()))^2)/(((V$19*1000^2/($M$16*($K76/2000)^2*PI())*($K76/1000)/$O$16))^0.25*1000*$K76*2)*AK76)</f>
        <v>567.28054861421845</v>
      </c>
      <c r="W76" s="10">
        <f>IF(W$19*1000^2/($M$16*($K76/2000)^2*PI())*($K76/1000)/$O$16&lt;2320,(64*25*1000*$M$16*(W$19/($M$16*($K76/2000)^2*PI()))^2)/((W$19*1000^2/($M$16*($K76/2000)^2*PI())*($K76/1000)/$O$16)*1000*$K76*2)*AL76,(0.3164*25*1000*$M$16*(W$19/($M$16*($K76/2000)^2*PI()))^2)/(((W$19*1000^2/($M$16*($K76/2000)^2*PI())*($K76/1000)/$O$16))^0.25*1000*$K76*2)*AL76)</f>
        <v>693.09746065116508</v>
      </c>
      <c r="X76" s="10">
        <f>IF(X$19*1000^2/($M$16*($K76/2000)^2*PI())*($K76/1000)/$O$16&lt;2320,(64*25*1000*$M$16*(X$19/($M$16*($K76/2000)^2*PI()))^2)/((X$19*1000^2/($M$16*($K76/2000)^2*PI())*($K76/1000)/$O$16)*1000*$K76*2)*AM76,(0.3164*25*1000*$M$16*(X$19/($M$16*($K76/2000)^2*PI()))^2)/(((X$19*1000^2/($M$16*($K76/2000)^2*PI())*($K76/1000)/$O$16))^0.25*1000*$K76*2)*AM76)</f>
        <v>832.11109611483084</v>
      </c>
      <c r="Y76" s="10">
        <f>IF(Y$19*1000^2/($M$16*($K76/2000)^2*PI())*($K76/1000)/$O$16&lt;2320,(64*25*1000*$M$16*(Y$19/($M$16*($K76/2000)^2*PI()))^2)/((Y$19*1000^2/($M$16*($K76/2000)^2*PI())*($K76/1000)/$O$16)*1000*$K76*2)*AN76,(0.3164*25*1000*$M$16*(Y$19/($M$16*($K76/2000)^2*PI()))^2)/(((Y$19*1000^2/($M$16*($K76/2000)^2*PI())*($K76/1000)/$O$16))^0.25*1000*$K76*2)*AN76)</f>
        <v>984.6993592209634</v>
      </c>
      <c r="AB76">
        <f>IF($J76="Einschraub Auslass 8 mm",(-0.0288193682407218+3616.60902410213*M$19)/(1+212.818202316404*M$19+-461.039165146899*M$19^2),IF($J76="Einschraub Auslass 10 mm",(-0.0288193682407218+3616.60902410213*M$19)/(1+212.818202316404*M$19+-461.039165146899*M$19^2)*1.585,IF($J76="Einschraub Auslass 13 mm",(-0.0288193682407218+3616.60902410213*M$19)/(1+212.818202316404*M$19+-461.039165146899*M$19^2)*3.982)))</f>
        <v>-4.5678698661544052E-2</v>
      </c>
      <c r="AC76">
        <f>IF($J76="Einschraub Auslass 8 mm",(-0.0288193682407218+3616.60902410213*N$19)/(1+212.818202316404*N$19+-461.039165146899*N$19^2),IF($J76="Einschraub Auslass 10 mm",(-0.0288193682407218+3616.60902410213*N$19)/(1+212.818202316404*N$19+-461.039165146899*N$19^2)*1.585,IF($J76="Einschraub Auslass 13 mm",(-0.0288193682407218+3616.60902410213*N$19)/(1+212.818202316404*N$19+-461.039165146899*N$19^2)*3.982)))</f>
        <v>17.138890157626562</v>
      </c>
      <c r="AD76">
        <f>IF($J76="Einschraub Auslass 8 mm",(-0.0288193682407218+3616.60902410213*O$19)/(1+212.818202316404*O$19+-461.039165146899*O$19^2),IF($J76="Einschraub Auslass 10 mm",(-0.0288193682407218+3616.60902410213*O$19)/(1+212.818202316404*O$19+-461.039165146899*O$19^2)*1.585,IF($J76="Einschraub Auslass 13 mm",(-0.0288193682407218+3616.60902410213*O$19)/(1+212.818202316404*O$19+-461.039165146899*O$19^2)*3.982)))</f>
        <v>20.623552477336041</v>
      </c>
      <c r="AE76">
        <f>IF($J76="Einschraub Auslass 8 mm",(-0.0288193682407218+3616.60902410213*P$19)/(1+212.818202316404*P$19+-461.039165146899*P$19^2),IF($J76="Einschraub Auslass 10 mm",(-0.0288193682407218+3616.60902410213*P$19)/(1+212.818202316404*P$19+-461.039165146899*P$19^2)*1.585,IF($J76="Einschraub Auslass 13 mm",(-0.0288193682407218+3616.60902410213*P$19)/(1+212.818202316404*P$19+-461.039165146899*P$19^2)*3.982)))</f>
        <v>22.595030306536888</v>
      </c>
      <c r="AF76">
        <f>IF($J76="Einschraub Auslass 8 mm",(-0.0288193682407218+3616.60902410213*Q$19)/(1+212.818202316404*Q$19+-461.039165146899*Q$19^2),IF($J76="Einschraub Auslass 10 mm",(-0.0288193682407218+3616.60902410213*Q$19)/(1+212.818202316404*Q$19+-461.039165146899*Q$19^2)*1.585,IF($J76="Einschraub Auslass 13 mm",(-0.0288193682407218+3616.60902410213*Q$19)/(1+212.818202316404*Q$19+-461.039165146899*Q$19^2)*3.982)))</f>
        <v>23.94794279862252</v>
      </c>
      <c r="AG76">
        <f>IF($J76="Einschraub Auslass 8 mm",(-0.0288193682407218+3616.60902410213*R$19)/(1+212.818202316404*R$19+-461.039165146899*R$19^2),IF($J76="Einschraub Auslass 10 mm",(-0.0288193682407218+3616.60902410213*R$19)/(1+212.818202316404*R$19+-461.039165146899*R$19^2)*1.585,IF($J76="Einschraub Auslass 13 mm",(-0.0288193682407218+3616.60902410213*R$19)/(1+212.818202316404*R$19+-461.039165146899*R$19^2)*3.982)))</f>
        <v>24.991383545066636</v>
      </c>
      <c r="AH76">
        <f>IF($J76="Einschraub Auslass 8 mm",(-0.0288193682407218+3616.60902410213*S$19)/(1+212.818202316404*S$19+-461.039165146899*S$19^2),IF($J76="Einschraub Auslass 10 mm",(-0.0288193682407218+3616.60902410213*S$19)/(1+212.818202316404*S$19+-461.039165146899*S$19^2)*1.585,IF($J76="Einschraub Auslass 13 mm",(-0.0288193682407218+3616.60902410213*S$19)/(1+212.818202316404*S$19+-461.039165146899*S$19^2)*3.982)))</f>
        <v>25.860776895449572</v>
      </c>
      <c r="AI76">
        <f>IF($J76="Einschraub Auslass 8 mm",(-0.0288193682407218+3616.60902410213*T$19)/(1+212.818202316404*T$19+-461.039165146899*T$19^2),IF($J76="Einschraub Auslass 10 mm",(-0.0288193682407218+3616.60902410213*T$19)/(1+212.818202316404*T$19+-461.039165146899*T$19^2)*1.585,IF($J76="Einschraub Auslass 13 mm",(-0.0288193682407218+3616.60902410213*T$19)/(1+212.818202316404*T$19+-461.039165146899*T$19^2)*3.982)))</f>
        <v>26.624982625136834</v>
      </c>
      <c r="AJ76">
        <f>IF($J76="Einschraub Auslass 8 mm",(-0.0288193682407218+3616.60902410213*U$19)/(1+212.818202316404*U$19+-461.039165146899*U$19^2),IF($J76="Einschraub Auslass 10 mm",(-0.0288193682407218+3616.60902410213*U$19)/(1+212.818202316404*U$19+-461.039165146899*U$19^2)*1.585,IF($J76="Einschraub Auslass 13 mm",(-0.0288193682407218+3616.60902410213*U$19)/(1+212.818202316404*U$19+-461.039165146899*U$19^2)*3.982)))</f>
        <v>27.32285051361735</v>
      </c>
      <c r="AK76">
        <f>IF($J76="Einschraub Auslass 8 mm",(-0.0288193682407218+3616.60902410213*V$19)/(1+212.818202316404*V$19+-461.039165146899*V$19^2),IF($J76="Einschraub Auslass 10 mm",(-0.0288193682407218+3616.60902410213*V$19)/(1+212.818202316404*V$19+-461.039165146899*V$19^2)*1.585,IF($J76="Einschraub Auslass 13 mm",(-0.0288193682407218+3616.60902410213*V$19)/(1+212.818202316404*V$19+-461.039165146899*V$19^2)*3.982)))</f>
        <v>27.978079155585135</v>
      </c>
      <c r="AL76">
        <f>IF($J76="Einschraub Auslass 8 mm",(-0.0288193682407218+3616.60902410213*W$19)/(1+212.818202316404*W$19+-461.039165146899*W$19^2),IF($J76="Einschraub Auslass 10 mm",(-0.0288193682407218+3616.60902410213*W$19)/(1+212.818202316404*W$19+-461.039165146899*W$19^2)*1.585,IF($J76="Einschraub Auslass 13 mm",(-0.0288193682407218+3616.60902410213*W$19)/(1+212.818202316404*W$19+-461.039165146899*W$19^2)*3.982)))</f>
        <v>28.606050468290555</v>
      </c>
      <c r="AM76">
        <f>IF($J76="Einschraub Auslass 8 mm",(-0.0288193682407218+3616.60902410213*X$19)/(1+212.818202316404*X$19+-461.039165146899*X$19^2),IF($J76="Einschraub Auslass 10 mm",(-0.0288193682407218+3616.60902410213*X$19)/(1+212.818202316404*X$19+-461.039165146899*X$19^2)*1.585,IF($J76="Einschraub Auslass 13 mm",(-0.0288193682407218+3616.60902410213*X$19)/(1+212.818202316404*X$19+-461.039165146899*X$19^2)*3.982)))</f>
        <v>29.21727885245237</v>
      </c>
      <c r="AN76">
        <f>IF($J76="Einschraub Auslass 8 mm",(-0.0288193682407218+3616.60902410213*Y$19)/(1+212.818202316404*Y$19+-461.039165146899*Y$19^2),IF($J76="Einschraub Auslass 10 mm",(-0.0288193682407218+3616.60902410213*Y$19)/(1+212.818202316404*Y$19+-461.039165146899*Y$19^2)*1.585,IF($J76="Einschraub Auslass 13 mm",(-0.0288193682407218+3616.60902410213*Y$19)/(1+212.818202316404*Y$19+-461.039165146899*Y$19^2)*3.982)))</f>
        <v>29.819282898096713</v>
      </c>
      <c r="AQ76">
        <v>53</v>
      </c>
      <c r="AR76" s="14">
        <v>4.6655246618638726</v>
      </c>
      <c r="AS76" s="13">
        <f t="shared" si="16"/>
        <v>45672.441718252987</v>
      </c>
      <c r="AT76" s="9">
        <v>3.6237545469761496</v>
      </c>
      <c r="AU76" s="13">
        <f t="shared" si="17"/>
        <v>35474.192152679156</v>
      </c>
    </row>
    <row r="77" spans="1:47" x14ac:dyDescent="0.35">
      <c r="A77">
        <f t="shared" si="12"/>
        <v>54</v>
      </c>
      <c r="B77" s="13">
        <f t="shared" si="13"/>
        <v>45658.339589816052</v>
      </c>
      <c r="F77">
        <f t="shared" si="14"/>
        <v>54</v>
      </c>
      <c r="G77" s="13">
        <f t="shared" si="15"/>
        <v>35455.832806165548</v>
      </c>
      <c r="I77" s="1">
        <v>7</v>
      </c>
      <c r="J77" t="s">
        <v>32</v>
      </c>
      <c r="K77">
        <f>IF(J77="Einschraub Einlass 8 mm 90°",8,IF(J77="Einschraub Einlass 10 mm 90°",10,IF(J77="Einschraub Einlass 13 mm 90°",13)))</f>
        <v>10</v>
      </c>
      <c r="L77" s="4" t="s">
        <v>12</v>
      </c>
      <c r="M77" s="1">
        <v>0</v>
      </c>
      <c r="N77" s="10">
        <f>IF(N$19*1000^2/($M$16*($K77/2000)^2*PI())*($K77/1000)/$O$16&lt;2320,(64*52.5*1000*$M$16*(N$19/($M$16*($K77/2000)^2*PI()))^2)/((N$19*1000^2/($M$16*($K77/2000)^2*PI())*($K77/1000)/$O$16)*1000*$K77*2)*AC77,(0.3164*52.5*1000*$M$16*(N$19/($M$16*($K77/2000)^2*PI()))^2)/(((N$19*1000^2/($M$16*($K77/2000)^2*PI())*($K77/1000)/$O$16))^0.25*1000*$K77*2)*AC77)</f>
        <v>23.313081174559354</v>
      </c>
      <c r="O77" s="10">
        <f>IF(O$19*1000^2/($M$16*($K77/2000)^2*PI())*($K77/1000)/$O$16&lt;2320,(64*52.5*1000*$M$16*(O$19/($M$16*($K77/2000)^2*PI()))^2)/((O$19*1000^2/($M$16*($K77/2000)^2*PI())*($K77/1000)/$O$16)*1000*$K77*2)*AD77,(0.3164*52.5*1000*$M$16*(O$19/($M$16*($K77/2000)^2*PI()))^2)/(((O$19*1000^2/($M$16*($K77/2000)^2*PI())*($K77/1000)/$O$16))^0.25*1000*$K77*2)*AD77)</f>
        <v>91.426665623149347</v>
      </c>
      <c r="P77" s="10">
        <f>IF(P$19*1000^2/($M$16*($K77/2000)^2*PI())*($K77/1000)/$O$16&lt;2320,(64*52.5*1000*$M$16*(P$19/($M$16*($K77/2000)^2*PI()))^2)/((P$19*1000^2/($M$16*($K77/2000)^2*PI())*($K77/1000)/$O$16)*1000*$K77*2)*AE77,(0.3164*52.5*1000*$M$16*(P$19/($M$16*($K77/2000)^2*PI()))^2)/(((P$19*1000^2/($M$16*($K77/2000)^2*PI())*($K77/1000)/$O$16))^0.25*1000*$K77*2)*AE77)</f>
        <v>192.74200741013723</v>
      </c>
      <c r="Q77" s="10">
        <f>IF(Q$19*1000^2/($M$16*($K77/2000)^2*PI())*($K77/1000)/$O$16&lt;2320,(64*52.5*1000*$M$16*(Q$19/($M$16*($K77/2000)^2*PI()))^2)/((Q$19*1000^2/($M$16*($K77/2000)^2*PI())*($K77/1000)/$O$16)*1000*$K77*2)*AF77,(0.3164*52.5*1000*$M$16*(Q$19/($M$16*($K77/2000)^2*PI()))^2)/(((Q$19*1000^2/($M$16*($K77/2000)^2*PI())*($K77/1000)/$O$16))^0.25*1000*$K77*2)*AF77)</f>
        <v>327.38252209251675</v>
      </c>
      <c r="R77" s="10">
        <f>IF(R$19*1000^2/($M$16*($K77/2000)^2*PI())*($K77/1000)/$O$16&lt;2320,(64*52.5*1000*$M$16*(R$19/($M$16*($K77/2000)^2*PI()))^2)/((R$19*1000^2/($M$16*($K77/2000)^2*PI())*($K77/1000)/$O$16)*1000*$K77*2)*AG77,(0.3164*52.5*1000*$M$16*(R$19/($M$16*($K77/2000)^2*PI()))^2)/(((R$19*1000^2/($M$16*($K77/2000)^2*PI())*($K77/1000)/$O$16))^0.25*1000*$K77*2)*AG77)</f>
        <v>492.78639213416108</v>
      </c>
      <c r="S77" s="10">
        <f>IF(S$19*1000^2/($M$16*($K77/2000)^2*PI())*($K77/1000)/$O$16&lt;2320,(64*52.5*1000*$M$16*(S$19/($M$16*($K77/2000)^2*PI()))^2)/((S$19*1000^2/($M$16*($K77/2000)^2*PI())*($K77/1000)/$O$16)*1000*$K77*2)*AH77,(0.3164*52.5*1000*$M$16*(S$19/($M$16*($K77/2000)^2*PI()))^2)/(((S$19*1000^2/($M$16*($K77/2000)^2*PI())*($K77/1000)/$O$16))^0.25*1000*$K77*2)*AH77)</f>
        <v>686.89265766551762</v>
      </c>
      <c r="T77" s="10">
        <f>IF(T$19*1000^2/($M$16*($K77/2000)^2*PI())*($K77/1000)/$O$16&lt;2320,(64*52.5*1000*$M$16*(T$19/($M$16*($K77/2000)^2*PI()))^2)/((T$19*1000^2/($M$16*($K77/2000)^2*PI())*($K77/1000)/$O$16)*1000*$K77*2)*AI77,(0.3164*52.5*1000*$M$16*(T$19/($M$16*($K77/2000)^2*PI()))^2)/(((T$19*1000^2/($M$16*($K77/2000)^2*PI())*($K77/1000)/$O$16))^0.25*1000*$K77*2)*AI77)</f>
        <v>908.00466624621492</v>
      </c>
      <c r="U77" s="10">
        <f>IF(U$19*1000^2/($M$16*($K77/2000)^2*PI())*($K77/1000)/$O$16&lt;2320,(64*52.5*1000*$M$16*(U$19/($M$16*($K77/2000)^2*PI()))^2)/((U$19*1000^2/($M$16*($K77/2000)^2*PI())*($K77/1000)/$O$16)*1000*$K77*2)*AJ77,(0.3164*52.5*1000*$M$16*(U$19/($M$16*($K77/2000)^2*PI()))^2)/(((U$19*1000^2/($M$16*($K77/2000)^2*PI())*($K77/1000)/$O$16))^0.25*1000*$K77*2)*AJ77)</f>
        <v>1154.690980370975</v>
      </c>
      <c r="V77" s="10">
        <f>IF(V$19*1000^2/($M$16*($K77/2000)^2*PI())*($K77/1000)/$O$16&lt;2320,(64*52.5*1000*$M$16*(V$19/($M$16*($K77/2000)^2*PI()))^2)/((V$19*1000^2/($M$16*($K77/2000)^2*PI())*($K77/1000)/$O$16)*1000*$K77*2)*AK77,(0.3164*52.5*1000*$M$16*(V$19/($M$16*($K77/2000)^2*PI()))^2)/(((V$19*1000^2/($M$16*($K77/2000)^2*PI())*($K77/1000)/$O$16))^0.25*1000*$K77*2)*AK77)</f>
        <v>1425.7181108341331</v>
      </c>
      <c r="W77" s="10">
        <f>IF(W$19*1000^2/($M$16*($K77/2000)^2*PI())*($K77/1000)/$O$16&lt;2320,(64*52.5*1000*$M$16*(W$19/($M$16*($K77/2000)^2*PI()))^2)/((W$19*1000^2/($M$16*($K77/2000)^2*PI())*($K77/1000)/$O$16)*1000*$K77*2)*AL77,(0.3164*52.5*1000*$M$16*(W$19/($M$16*($K77/2000)^2*PI()))^2)/(((W$19*1000^2/($M$16*($K77/2000)^2*PI())*($K77/1000)/$O$16))^0.25*1000*$K77*2)*AL77)</f>
        <v>1720.0044478716354</v>
      </c>
      <c r="X77" s="10">
        <f>IF(X$19*1000^2/($M$16*($K77/2000)^2*PI())*($K77/1000)/$O$16&lt;2320,(64*52.5*1000*$M$16*(X$19/($M$16*($K77/2000)^2*PI()))^2)/((X$19*1000^2/($M$16*($K77/2000)^2*PI())*($K77/1000)/$O$16)*1000*$K77*2)*AM77,(0.3164*52.5*1000*$M$16*(X$19/($M$16*($K77/2000)^2*PI()))^2)/(((X$19*1000^2/($M$16*($K77/2000)^2*PI())*($K77/1000)/$O$16))^0.25*1000*$K77*2)*AM77)</f>
        <v>2036.5879230417813</v>
      </c>
      <c r="Y77" s="10">
        <f>IF(Y$19*1000^2/($M$16*($K77/2000)^2*PI())*($K77/1000)/$O$16&lt;2320,(64*52.5*1000*$M$16*(Y$19/($M$16*($K77/2000)^2*PI()))^2)/((Y$19*1000^2/($M$16*($K77/2000)^2*PI())*($K77/1000)/$O$16)*1000*$K77*2)*AN77,(0.3164*52.5*1000*$M$16*(Y$19/($M$16*($K77/2000)^2*PI()))^2)/(((Y$19*1000^2/($M$16*($K77/2000)^2*PI())*($K77/1000)/$O$16))^0.25*1000*$K77*2)*AN77)</f>
        <v>2374.602690017759</v>
      </c>
      <c r="AB77">
        <f>IF($J77="Einschraub Einlass 8 mm 90°",(3.75440399433201+381.288779117293*M$19)/(1 + 0.346808982897139*M$19 + 213.599531090185*M$19^2),IF($J77="Einschraub Einlass 10 mm 90°",(-0.259938473921258+4508.17480532467*M$19)/(1 + 112.297101041766*M$19 + 77.5845137478753*M$19^2),IF($J77="Einschraub Einlass 13 mm 90°",(-1.57295418643157+12009.33072578*M$19)/(1 + 125.085352545567*M$19 + -102.430377343291*M$19^2))))</f>
        <v>-0.25993847392125802</v>
      </c>
      <c r="AC77">
        <f>IF($J77="Einschraub Einlass 8 mm 90°",(3.75440399433201+381.288779117293*N$19)/(1 + 0.346808982897139*N$19 + 213.599531090185*N$19^2),IF($J77="Einschraub Einlass 10 mm 90°",(-0.259938473921258+4508.17480532467*N$19)/(1 + 112.297101041766*N$19 + 77.5845137478753*N$19^2),IF($J77="Einschraub Einlass 13 mm 90°",(-1.57295418643157+12009.33072578*N$19)/(1 + 125.085352545567*N$19 + -102.430377343291*N$19^2))))</f>
        <v>18.811887659953328</v>
      </c>
      <c r="AD77">
        <f>IF($J77="Einschraub Einlass 8 mm 90°",(3.75440399433201+381.288779117293*O$19)/(1 + 0.346808982897139*O$19 + 213.599531090185*O$19^2),IF($J77="Einschraub Einlass 10 mm 90°",(-0.259938473921258+4508.17480532467*O$19)/(1 + 112.297101041766*O$19 + 77.5845137478753*O$19^2),IF($J77="Einschraub Einlass 13 mm 90°",(-1.57295418643157+12009.33072578*O$19)/(1 + 125.085352545567*O$19 + -102.430377343291*O$19^2))))</f>
        <v>24.29285586344913</v>
      </c>
      <c r="AE77">
        <f>IF($J77="Einschraub Einlass 8 mm 90°",(3.75440399433201+381.288779117293*P$19)/(1 + 0.346808982897139*P$19 + 213.599531090185*P$19^2),IF($J77="Einschraub Einlass 10 mm 90°",(-0.259938473921258+4508.17480532467*P$19)/(1 + 112.297101041766*P$19 + 77.5845137478753*P$19^2),IF($J77="Einschraub Einlass 13 mm 90°",(-1.57295418643157+12009.33072578*P$19)/(1 + 125.085352545567*P$19 + -102.430377343291*P$19^2))))</f>
        <v>27.434916336607728</v>
      </c>
      <c r="AF77">
        <f>IF($J77="Einschraub Einlass 8 mm 90°",(3.75440399433201+381.288779117293*Q$19)/(1 + 0.346808982897139*Q$19 + 213.599531090185*Q$19^2),IF($J77="Einschraub Einlass 10 mm 90°",(-0.259938473921258+4508.17480532467*Q$19)/(1 + 112.297101041766*Q$19 + 77.5845137478753*Q$19^2),IF($J77="Einschraub Einlass 13 mm 90°",(-1.57295418643157+12009.33072578*Q$19)/(1 + 125.085352545567*Q$19 + -102.430377343291*Q$19^2))))</f>
        <v>29.442988263990163</v>
      </c>
      <c r="AG77">
        <f>IF($J77="Einschraub Einlass 8 mm 90°",(3.75440399433201+381.288779117293*R$19)/(1 + 0.346808982897139*R$19 + 213.599531090185*R$19^2),IF($J77="Einschraub Einlass 10 mm 90°",(-0.259938473921258+4508.17480532467*R$19)/(1 + 112.297101041766*R$19 + 77.5845137478753*R$19^2),IF($J77="Einschraub Einlass 13 mm 90°",(-1.57295418643157+12009.33072578*R$19)/(1 + 125.085352545567*R$19 + -102.430377343291*R$19^2))))</f>
        <v>30.815981115434855</v>
      </c>
      <c r="AH77">
        <f>IF($J77="Einschraub Einlass 8 mm 90°",(3.75440399433201+381.288779117293*S$19)/(1 + 0.346808982897139*S$19 + 213.599531090185*S$19^2),IF($J77="Einschraub Einlass 10 mm 90°",(-0.259938473921258+4508.17480532467*S$19)/(1 + 112.297101041766*S$19 + 77.5845137478753*S$19^2),IF($J77="Einschraub Einlass 13 mm 90°",(-1.57295418643157+12009.33072578*S$19)/(1 + 125.085352545567*S$19 + -102.430377343291*S$19^2))))</f>
        <v>31.797819135122872</v>
      </c>
      <c r="AI77">
        <f>IF($J77="Einschraub Einlass 8 mm 90°",(3.75440399433201+381.288779117293*T$19)/(1 + 0.346808982897139*T$19 + 213.599531090185*T$19^2),IF($J77="Einschraub Einlass 10 mm 90°",(-0.259938473921258+4508.17480532467*T$19)/(1 + 112.297101041766*T$19 + 77.5845137478753*T$19^2),IF($J77="Einschraub Einlass 13 mm 90°",(-1.57295418643157+12009.33072578*T$19)/(1 + 125.085352545567*T$19 + -102.430377343291*T$19^2))))</f>
        <v>32.521880614868252</v>
      </c>
      <c r="AJ77">
        <f>IF($J77="Einschraub Einlass 8 mm 90°",(3.75440399433201+381.288779117293*U$19)/(1 + 0.346808982897139*U$19 + 213.599531090185*U$19^2),IF($J77="Einschraub Einlass 10 mm 90°",(-0.259938473921258+4508.17480532467*U$19)/(1 + 112.297101041766*U$19 + 77.5845137478753*U$19^2),IF($J77="Einschraub Einlass 13 mm 90°",(-1.57295418643157+12009.33072578*U$19)/(1 + 125.085352545567*U$19 + -102.430377343291*U$19^2))))</f>
        <v>33.067245563189445</v>
      </c>
      <c r="AK77">
        <f>IF($J77="Einschraub Einlass 8 mm 90°",(3.75440399433201+381.288779117293*V$19)/(1 + 0.346808982897139*V$19 + 213.599531090185*V$19^2),IF($J77="Einschraub Einlass 10 mm 90°",(-0.259938473921258+4508.17480532467*V$19)/(1 + 112.297101041766*V$19 + 77.5845137478753*V$19^2),IF($J77="Einschraub Einlass 13 mm 90°",(-1.57295418643157+12009.33072578*V$19)/(1 + 125.085352545567*V$19 + -102.430377343291*V$19^2))))</f>
        <v>33.48377183532002</v>
      </c>
      <c r="AL77">
        <f>IF($J77="Einschraub Einlass 8 mm 90°",(3.75440399433201+381.288779117293*W$19)/(1 + 0.346808982897139*W$19 + 213.599531090185*W$19^2),IF($J77="Einschraub Einlass 10 mm 90°",(-0.259938473921258+4508.17480532467*W$19)/(1 + 112.297101041766*W$19 + 77.5845137478753*W$19^2),IF($J77="Einschraub Einlass 13 mm 90°",(-1.57295418643157+12009.33072578*W$19)/(1 + 125.085352545567*W$19 + -102.430377343291*W$19^2))))</f>
        <v>33.804449511310906</v>
      </c>
      <c r="AM77">
        <f>IF($J77="Einschraub Einlass 8 mm 90°",(3.75440399433201+381.288779117293*X$19)/(1 + 0.346808982897139*X$19 + 213.599531090185*X$19^2),IF($J77="Einschraub Einlass 10 mm 90°",(-0.259938473921258+4508.17480532467*X$19)/(1 + 112.297101041766*X$19 + 77.5845137478753*X$19^2),IF($J77="Einschraub Einlass 13 mm 90°",(-1.57295418643157+12009.33072578*X$19)/(1 + 125.085352545567*X$19 + -102.430377343291*X$19^2))))</f>
        <v>34.051976228422518</v>
      </c>
      <c r="AN77">
        <f>IF($J77="Einschraub Einlass 8 mm 90°",(3.75440399433201+381.288779117293*Y$19)/(1 + 0.346808982897139*Y$19 + 213.599531090185*Y$19^2),IF($J77="Einschraub Einlass 10 mm 90°",(-0.259938473921258+4508.17480532467*Y$19)/(1 + 112.297101041766*Y$19 + 77.5845137478753*Y$19^2),IF($J77="Einschraub Einlass 13 mm 90°",(-1.57295418643157+12009.33072578*Y$19)/(1 + 125.085352545567*Y$19 + -102.430377343291*Y$19^2))))</f>
        <v>34.242479199433689</v>
      </c>
      <c r="AQ77">
        <v>54</v>
      </c>
      <c r="AR77" s="14">
        <v>4.6640841032790448</v>
      </c>
      <c r="AS77" s="13">
        <f t="shared" si="16"/>
        <v>45658.339589816052</v>
      </c>
      <c r="AT77" s="9">
        <v>3.6218791056659758</v>
      </c>
      <c r="AU77" s="13">
        <f t="shared" si="17"/>
        <v>35455.832806165548</v>
      </c>
    </row>
    <row r="78" spans="1:47" x14ac:dyDescent="0.35">
      <c r="A78">
        <f t="shared" si="12"/>
        <v>55</v>
      </c>
      <c r="B78" s="13">
        <f t="shared" si="13"/>
        <v>45643.923235390532</v>
      </c>
      <c r="F78">
        <f t="shared" si="14"/>
        <v>55</v>
      </c>
      <c r="G78" s="13">
        <f t="shared" si="15"/>
        <v>35437.371174450338</v>
      </c>
      <c r="I78" s="1">
        <v>8</v>
      </c>
      <c r="J78" t="s">
        <v>32</v>
      </c>
      <c r="K78">
        <f t="shared" ref="K78:K79" si="22">IF(J78="Einschraub Einlass 8 mm 90°",8,IF(J78="Einschraub Einlass 10 mm 90°",10,IF(J78="Einschraub Einlass 13 mm 90°",13)))</f>
        <v>10</v>
      </c>
      <c r="L78" s="4" t="s">
        <v>12</v>
      </c>
      <c r="M78" s="1">
        <v>0</v>
      </c>
      <c r="N78" s="10">
        <f>IF(N$19*1000^2/($M$16*($K78/2000)^2*PI())*($K78/1000)/$O$16&lt;2320,(64*52.5*1000*$M$16*(N$19/($M$16*($K78/2000)^2*PI()))^2)/((N$19*1000^2/($M$16*($K78/2000)^2*PI())*($K78/1000)/$O$16)*1000*$K78*2)*AC78,(0.3164*52.5*1000*$M$16*(N$19/($M$16*($K78/2000)^2*PI()))^2)/(((N$19*1000^2/($M$16*($K78/2000)^2*PI())*($K78/1000)/$O$16))^0.25*1000*$K78*2)*AC78)</f>
        <v>23.313081174559354</v>
      </c>
      <c r="O78" s="10">
        <f>IF(O$19*1000^2/($M$16*($K78/2000)^2*PI())*($K78/1000)/$O$16&lt;2320,(64*52.5*1000*$M$16*(O$19/($M$16*($K78/2000)^2*PI()))^2)/((O$19*1000^2/($M$16*($K78/2000)^2*PI())*($K78/1000)/$O$16)*1000*$K78*2)*AD78,(0.3164*52.5*1000*$M$16*(O$19/($M$16*($K78/2000)^2*PI()))^2)/(((O$19*1000^2/($M$16*($K78/2000)^2*PI())*($K78/1000)/$O$16))^0.25*1000*$K78*2)*AD78)</f>
        <v>91.426665623149347</v>
      </c>
      <c r="P78" s="10">
        <f>IF(P$19*1000^2/($M$16*($K78/2000)^2*PI())*($K78/1000)/$O$16&lt;2320,(64*52.5*1000*$M$16*(P$19/($M$16*($K78/2000)^2*PI()))^2)/((P$19*1000^2/($M$16*($K78/2000)^2*PI())*($K78/1000)/$O$16)*1000*$K78*2)*AE78,(0.3164*52.5*1000*$M$16*(P$19/($M$16*($K78/2000)^2*PI()))^2)/(((P$19*1000^2/($M$16*($K78/2000)^2*PI())*($K78/1000)/$O$16))^0.25*1000*$K78*2)*AE78)</f>
        <v>192.74200741013723</v>
      </c>
      <c r="Q78" s="10">
        <f>IF(Q$19*1000^2/($M$16*($K78/2000)^2*PI())*($K78/1000)/$O$16&lt;2320,(64*52.5*1000*$M$16*(Q$19/($M$16*($K78/2000)^2*PI()))^2)/((Q$19*1000^2/($M$16*($K78/2000)^2*PI())*($K78/1000)/$O$16)*1000*$K78*2)*AF78,(0.3164*52.5*1000*$M$16*(Q$19/($M$16*($K78/2000)^2*PI()))^2)/(((Q$19*1000^2/($M$16*($K78/2000)^2*PI())*($K78/1000)/$O$16))^0.25*1000*$K78*2)*AF78)</f>
        <v>327.38252209251675</v>
      </c>
      <c r="R78" s="10">
        <f>IF(R$19*1000^2/($M$16*($K78/2000)^2*PI())*($K78/1000)/$O$16&lt;2320,(64*52.5*1000*$M$16*(R$19/($M$16*($K78/2000)^2*PI()))^2)/((R$19*1000^2/($M$16*($K78/2000)^2*PI())*($K78/1000)/$O$16)*1000*$K78*2)*AG78,(0.3164*52.5*1000*$M$16*(R$19/($M$16*($K78/2000)^2*PI()))^2)/(((R$19*1000^2/($M$16*($K78/2000)^2*PI())*($K78/1000)/$O$16))^0.25*1000*$K78*2)*AG78)</f>
        <v>492.78639213416108</v>
      </c>
      <c r="S78" s="10">
        <f>IF(S$19*1000^2/($M$16*($K78/2000)^2*PI())*($K78/1000)/$O$16&lt;2320,(64*52.5*1000*$M$16*(S$19/($M$16*($K78/2000)^2*PI()))^2)/((S$19*1000^2/($M$16*($K78/2000)^2*PI())*($K78/1000)/$O$16)*1000*$K78*2)*AH78,(0.3164*52.5*1000*$M$16*(S$19/($M$16*($K78/2000)^2*PI()))^2)/(((S$19*1000^2/($M$16*($K78/2000)^2*PI())*($K78/1000)/$O$16))^0.25*1000*$K78*2)*AH78)</f>
        <v>686.89265766551762</v>
      </c>
      <c r="T78" s="10">
        <f>IF(T$19*1000^2/($M$16*($K78/2000)^2*PI())*($K78/1000)/$O$16&lt;2320,(64*52.5*1000*$M$16*(T$19/($M$16*($K78/2000)^2*PI()))^2)/((T$19*1000^2/($M$16*($K78/2000)^2*PI())*($K78/1000)/$O$16)*1000*$K78*2)*AI78,(0.3164*52.5*1000*$M$16*(T$19/($M$16*($K78/2000)^2*PI()))^2)/(((T$19*1000^2/($M$16*($K78/2000)^2*PI())*($K78/1000)/$O$16))^0.25*1000*$K78*2)*AI78)</f>
        <v>908.00466624621492</v>
      </c>
      <c r="U78" s="10">
        <f>IF(U$19*1000^2/($M$16*($K78/2000)^2*PI())*($K78/1000)/$O$16&lt;2320,(64*52.5*1000*$M$16*(U$19/($M$16*($K78/2000)^2*PI()))^2)/((U$19*1000^2/($M$16*($K78/2000)^2*PI())*($K78/1000)/$O$16)*1000*$K78*2)*AJ78,(0.3164*52.5*1000*$M$16*(U$19/($M$16*($K78/2000)^2*PI()))^2)/(((U$19*1000^2/($M$16*($K78/2000)^2*PI())*($K78/1000)/$O$16))^0.25*1000*$K78*2)*AJ78)</f>
        <v>1154.690980370975</v>
      </c>
      <c r="V78" s="10">
        <f>IF(V$19*1000^2/($M$16*($K78/2000)^2*PI())*($K78/1000)/$O$16&lt;2320,(64*52.5*1000*$M$16*(V$19/($M$16*($K78/2000)^2*PI()))^2)/((V$19*1000^2/($M$16*($K78/2000)^2*PI())*($K78/1000)/$O$16)*1000*$K78*2)*AK78,(0.3164*52.5*1000*$M$16*(V$19/($M$16*($K78/2000)^2*PI()))^2)/(((V$19*1000^2/($M$16*($K78/2000)^2*PI())*($K78/1000)/$O$16))^0.25*1000*$K78*2)*AK78)</f>
        <v>1425.7181108341331</v>
      </c>
      <c r="W78" s="10">
        <f>IF(W$19*1000^2/($M$16*($K78/2000)^2*PI())*($K78/1000)/$O$16&lt;2320,(64*52.5*1000*$M$16*(W$19/($M$16*($K78/2000)^2*PI()))^2)/((W$19*1000^2/($M$16*($K78/2000)^2*PI())*($K78/1000)/$O$16)*1000*$K78*2)*AL78,(0.3164*52.5*1000*$M$16*(W$19/($M$16*($K78/2000)^2*PI()))^2)/(((W$19*1000^2/($M$16*($K78/2000)^2*PI())*($K78/1000)/$O$16))^0.25*1000*$K78*2)*AL78)</f>
        <v>1720.0044478716354</v>
      </c>
      <c r="X78" s="10">
        <f>IF(X$19*1000^2/($M$16*($K78/2000)^2*PI())*($K78/1000)/$O$16&lt;2320,(64*52.5*1000*$M$16*(X$19/($M$16*($K78/2000)^2*PI()))^2)/((X$19*1000^2/($M$16*($K78/2000)^2*PI())*($K78/1000)/$O$16)*1000*$K78*2)*AM78,(0.3164*52.5*1000*$M$16*(X$19/($M$16*($K78/2000)^2*PI()))^2)/(((X$19*1000^2/($M$16*($K78/2000)^2*PI())*($K78/1000)/$O$16))^0.25*1000*$K78*2)*AM78)</f>
        <v>2036.5879230417813</v>
      </c>
      <c r="Y78" s="10">
        <f>IF(Y$19*1000^2/($M$16*($K78/2000)^2*PI())*($K78/1000)/$O$16&lt;2320,(64*52.5*1000*$M$16*(Y$19/($M$16*($K78/2000)^2*PI()))^2)/((Y$19*1000^2/($M$16*($K78/2000)^2*PI())*($K78/1000)/$O$16)*1000*$K78*2)*AN78,(0.3164*52.5*1000*$M$16*(Y$19/($M$16*($K78/2000)^2*PI()))^2)/(((Y$19*1000^2/($M$16*($K78/2000)^2*PI())*($K78/1000)/$O$16))^0.25*1000*$K78*2)*AN78)</f>
        <v>2374.602690017759</v>
      </c>
      <c r="AB78">
        <f>IF($J78="Einschraub Einlass 8 mm 90°",(3.75440399433201+381.288779117293*M$19)/(1 + 0.346808982897139*M$19 + 213.599531090185*M$19^2),IF($J78="Einschraub Einlass 10 mm 90°",(-0.259938473921258+4508.17480532467*M$19)/(1 + 112.297101041766*M$19 + 77.5845137478753*M$19^2),IF($J78="Einschraub Einlass 13 mm 90°",(-1.57295418643157+12009.33072578*M$19)/(1 + 125.085352545567*M$19 + -102.430377343291*M$19^2))))</f>
        <v>-0.25993847392125802</v>
      </c>
      <c r="AC78">
        <f>IF($J78="Einschraub Einlass 8 mm 90°",(3.75440399433201+381.288779117293*N$19)/(1 + 0.346808982897139*N$19 + 213.599531090185*N$19^2),IF($J78="Einschraub Einlass 10 mm 90°",(-0.259938473921258+4508.17480532467*N$19)/(1 + 112.297101041766*N$19 + 77.5845137478753*N$19^2),IF($J78="Einschraub Einlass 13 mm 90°",(-1.57295418643157+12009.33072578*N$19)/(1 + 125.085352545567*N$19 + -102.430377343291*N$19^2))))</f>
        <v>18.811887659953328</v>
      </c>
      <c r="AD78">
        <f>IF($J78="Einschraub Einlass 8 mm 90°",(3.75440399433201+381.288779117293*O$19)/(1 + 0.346808982897139*O$19 + 213.599531090185*O$19^2),IF($J78="Einschraub Einlass 10 mm 90°",(-0.259938473921258+4508.17480532467*O$19)/(1 + 112.297101041766*O$19 + 77.5845137478753*O$19^2),IF($J78="Einschraub Einlass 13 mm 90°",(-1.57295418643157+12009.33072578*O$19)/(1 + 125.085352545567*O$19 + -102.430377343291*O$19^2))))</f>
        <v>24.29285586344913</v>
      </c>
      <c r="AE78">
        <f>IF($J78="Einschraub Einlass 8 mm 90°",(3.75440399433201+381.288779117293*P$19)/(1 + 0.346808982897139*P$19 + 213.599531090185*P$19^2),IF($J78="Einschraub Einlass 10 mm 90°",(-0.259938473921258+4508.17480532467*P$19)/(1 + 112.297101041766*P$19 + 77.5845137478753*P$19^2),IF($J78="Einschraub Einlass 13 mm 90°",(-1.57295418643157+12009.33072578*P$19)/(1 + 125.085352545567*P$19 + -102.430377343291*P$19^2))))</f>
        <v>27.434916336607728</v>
      </c>
      <c r="AF78">
        <f>IF($J78="Einschraub Einlass 8 mm 90°",(3.75440399433201+381.288779117293*Q$19)/(1 + 0.346808982897139*Q$19 + 213.599531090185*Q$19^2),IF($J78="Einschraub Einlass 10 mm 90°",(-0.259938473921258+4508.17480532467*Q$19)/(1 + 112.297101041766*Q$19 + 77.5845137478753*Q$19^2),IF($J78="Einschraub Einlass 13 mm 90°",(-1.57295418643157+12009.33072578*Q$19)/(1 + 125.085352545567*Q$19 + -102.430377343291*Q$19^2))))</f>
        <v>29.442988263990163</v>
      </c>
      <c r="AG78">
        <f>IF($J78="Einschraub Einlass 8 mm 90°",(3.75440399433201+381.288779117293*R$19)/(1 + 0.346808982897139*R$19 + 213.599531090185*R$19^2),IF($J78="Einschraub Einlass 10 mm 90°",(-0.259938473921258+4508.17480532467*R$19)/(1 + 112.297101041766*R$19 + 77.5845137478753*R$19^2),IF($J78="Einschraub Einlass 13 mm 90°",(-1.57295418643157+12009.33072578*R$19)/(1 + 125.085352545567*R$19 + -102.430377343291*R$19^2))))</f>
        <v>30.815981115434855</v>
      </c>
      <c r="AH78">
        <f>IF($J78="Einschraub Einlass 8 mm 90°",(3.75440399433201+381.288779117293*S$19)/(1 + 0.346808982897139*S$19 + 213.599531090185*S$19^2),IF($J78="Einschraub Einlass 10 mm 90°",(-0.259938473921258+4508.17480532467*S$19)/(1 + 112.297101041766*S$19 + 77.5845137478753*S$19^2),IF($J78="Einschraub Einlass 13 mm 90°",(-1.57295418643157+12009.33072578*S$19)/(1 + 125.085352545567*S$19 + -102.430377343291*S$19^2))))</f>
        <v>31.797819135122872</v>
      </c>
      <c r="AI78">
        <f>IF($J78="Einschraub Einlass 8 mm 90°",(3.75440399433201+381.288779117293*T$19)/(1 + 0.346808982897139*T$19 + 213.599531090185*T$19^2),IF($J78="Einschraub Einlass 10 mm 90°",(-0.259938473921258+4508.17480532467*T$19)/(1 + 112.297101041766*T$19 + 77.5845137478753*T$19^2),IF($J78="Einschraub Einlass 13 mm 90°",(-1.57295418643157+12009.33072578*T$19)/(1 + 125.085352545567*T$19 + -102.430377343291*T$19^2))))</f>
        <v>32.521880614868252</v>
      </c>
      <c r="AJ78">
        <f>IF($J78="Einschraub Einlass 8 mm 90°",(3.75440399433201+381.288779117293*U$19)/(1 + 0.346808982897139*U$19 + 213.599531090185*U$19^2),IF($J78="Einschraub Einlass 10 mm 90°",(-0.259938473921258+4508.17480532467*U$19)/(1 + 112.297101041766*U$19 + 77.5845137478753*U$19^2),IF($J78="Einschraub Einlass 13 mm 90°",(-1.57295418643157+12009.33072578*U$19)/(1 + 125.085352545567*U$19 + -102.430377343291*U$19^2))))</f>
        <v>33.067245563189445</v>
      </c>
      <c r="AK78">
        <f>IF($J78="Einschraub Einlass 8 mm 90°",(3.75440399433201+381.288779117293*V$19)/(1 + 0.346808982897139*V$19 + 213.599531090185*V$19^2),IF($J78="Einschraub Einlass 10 mm 90°",(-0.259938473921258+4508.17480532467*V$19)/(1 + 112.297101041766*V$19 + 77.5845137478753*V$19^2),IF($J78="Einschraub Einlass 13 mm 90°",(-1.57295418643157+12009.33072578*V$19)/(1 + 125.085352545567*V$19 + -102.430377343291*V$19^2))))</f>
        <v>33.48377183532002</v>
      </c>
      <c r="AL78">
        <f>IF($J78="Einschraub Einlass 8 mm 90°",(3.75440399433201+381.288779117293*W$19)/(1 + 0.346808982897139*W$19 + 213.599531090185*W$19^2),IF($J78="Einschraub Einlass 10 mm 90°",(-0.259938473921258+4508.17480532467*W$19)/(1 + 112.297101041766*W$19 + 77.5845137478753*W$19^2),IF($J78="Einschraub Einlass 13 mm 90°",(-1.57295418643157+12009.33072578*W$19)/(1 + 125.085352545567*W$19 + -102.430377343291*W$19^2))))</f>
        <v>33.804449511310906</v>
      </c>
      <c r="AM78">
        <f>IF($J78="Einschraub Einlass 8 mm 90°",(3.75440399433201+381.288779117293*X$19)/(1 + 0.346808982897139*X$19 + 213.599531090185*X$19^2),IF($J78="Einschraub Einlass 10 mm 90°",(-0.259938473921258+4508.17480532467*X$19)/(1 + 112.297101041766*X$19 + 77.5845137478753*X$19^2),IF($J78="Einschraub Einlass 13 mm 90°",(-1.57295418643157+12009.33072578*X$19)/(1 + 125.085352545567*X$19 + -102.430377343291*X$19^2))))</f>
        <v>34.051976228422518</v>
      </c>
      <c r="AN78">
        <f>IF($J78="Einschraub Einlass 8 mm 90°",(3.75440399433201+381.288779117293*Y$19)/(1 + 0.346808982897139*Y$19 + 213.599531090185*Y$19^2),IF($J78="Einschraub Einlass 10 mm 90°",(-0.259938473921258+4508.17480532467*Y$19)/(1 + 112.297101041766*Y$19 + 77.5845137478753*Y$19^2),IF($J78="Einschraub Einlass 13 mm 90°",(-1.57295418643157+12009.33072578*Y$19)/(1 + 125.085352545567*Y$19 + -102.430377343291*Y$19^2))))</f>
        <v>34.242479199433689</v>
      </c>
      <c r="AQ78">
        <v>55</v>
      </c>
      <c r="AR78" s="14">
        <v>4.6626114459264691</v>
      </c>
      <c r="AS78" s="13">
        <f t="shared" si="16"/>
        <v>45643.923235390532</v>
      </c>
      <c r="AT78" s="9">
        <v>3.6199932157326788</v>
      </c>
      <c r="AU78" s="13">
        <f t="shared" si="17"/>
        <v>35437.371174450338</v>
      </c>
    </row>
    <row r="79" spans="1:47" x14ac:dyDescent="0.35">
      <c r="A79">
        <f t="shared" si="12"/>
        <v>56</v>
      </c>
      <c r="B79" s="13">
        <f t="shared" si="13"/>
        <v>45629.191557517086</v>
      </c>
      <c r="F79">
        <f t="shared" si="14"/>
        <v>56</v>
      </c>
      <c r="G79" s="13">
        <f t="shared" si="15"/>
        <v>35418.808563047613</v>
      </c>
      <c r="I79" s="1">
        <v>9</v>
      </c>
      <c r="J79" t="s">
        <v>32</v>
      </c>
      <c r="K79">
        <f t="shared" si="22"/>
        <v>10</v>
      </c>
      <c r="L79" s="4" t="s">
        <v>12</v>
      </c>
      <c r="M79" s="1">
        <v>0</v>
      </c>
      <c r="N79" s="10">
        <f>IF(N$19*1000^2/($M$16*($K79/2000)^2*PI())*($K79/1000)/$O$16&lt;2320,(64*52.5*1000*$M$16*(N$19/($M$16*($K79/2000)^2*PI()))^2)/((N$19*1000^2/($M$16*($K79/2000)^2*PI())*($K79/1000)/$O$16)*1000*$K79*2)*AC79,(0.3164*52.5*1000*$M$16*(N$19/($M$16*($K79/2000)^2*PI()))^2)/(((N$19*1000^2/($M$16*($K79/2000)^2*PI())*($K79/1000)/$O$16))^0.25*1000*$K79*2)*AC79)</f>
        <v>23.313081174559354</v>
      </c>
      <c r="O79" s="10">
        <f>IF(O$19*1000^2/($M$16*($K79/2000)^2*PI())*($K79/1000)/$O$16&lt;2320,(64*52.5*1000*$M$16*(O$19/($M$16*($K79/2000)^2*PI()))^2)/((O$19*1000^2/($M$16*($K79/2000)^2*PI())*($K79/1000)/$O$16)*1000*$K79*2)*AD79,(0.3164*52.5*1000*$M$16*(O$19/($M$16*($K79/2000)^2*PI()))^2)/(((O$19*1000^2/($M$16*($K79/2000)^2*PI())*($K79/1000)/$O$16))^0.25*1000*$K79*2)*AD79)</f>
        <v>91.426665623149347</v>
      </c>
      <c r="P79" s="10">
        <f>IF(P$19*1000^2/($M$16*($K79/2000)^2*PI())*($K79/1000)/$O$16&lt;2320,(64*52.5*1000*$M$16*(P$19/($M$16*($K79/2000)^2*PI()))^2)/((P$19*1000^2/($M$16*($K79/2000)^2*PI())*($K79/1000)/$O$16)*1000*$K79*2)*AE79,(0.3164*52.5*1000*$M$16*(P$19/($M$16*($K79/2000)^2*PI()))^2)/(((P$19*1000^2/($M$16*($K79/2000)^2*PI())*($K79/1000)/$O$16))^0.25*1000*$K79*2)*AE79)</f>
        <v>192.74200741013723</v>
      </c>
      <c r="Q79" s="10">
        <f>IF(Q$19*1000^2/($M$16*($K79/2000)^2*PI())*($K79/1000)/$O$16&lt;2320,(64*52.5*1000*$M$16*(Q$19/($M$16*($K79/2000)^2*PI()))^2)/((Q$19*1000^2/($M$16*($K79/2000)^2*PI())*($K79/1000)/$O$16)*1000*$K79*2)*AF79,(0.3164*52.5*1000*$M$16*(Q$19/($M$16*($K79/2000)^2*PI()))^2)/(((Q$19*1000^2/($M$16*($K79/2000)^2*PI())*($K79/1000)/$O$16))^0.25*1000*$K79*2)*AF79)</f>
        <v>327.38252209251675</v>
      </c>
      <c r="R79" s="10">
        <f>IF(R$19*1000^2/($M$16*($K79/2000)^2*PI())*($K79/1000)/$O$16&lt;2320,(64*52.5*1000*$M$16*(R$19/($M$16*($K79/2000)^2*PI()))^2)/((R$19*1000^2/($M$16*($K79/2000)^2*PI())*($K79/1000)/$O$16)*1000*$K79*2)*AG79,(0.3164*52.5*1000*$M$16*(R$19/($M$16*($K79/2000)^2*PI()))^2)/(((R$19*1000^2/($M$16*($K79/2000)^2*PI())*($K79/1000)/$O$16))^0.25*1000*$K79*2)*AG79)</f>
        <v>492.78639213416108</v>
      </c>
      <c r="S79" s="10">
        <f>IF(S$19*1000^2/($M$16*($K79/2000)^2*PI())*($K79/1000)/$O$16&lt;2320,(64*52.5*1000*$M$16*(S$19/($M$16*($K79/2000)^2*PI()))^2)/((S$19*1000^2/($M$16*($K79/2000)^2*PI())*($K79/1000)/$O$16)*1000*$K79*2)*AH79,(0.3164*52.5*1000*$M$16*(S$19/($M$16*($K79/2000)^2*PI()))^2)/(((S$19*1000^2/($M$16*($K79/2000)^2*PI())*($K79/1000)/$O$16))^0.25*1000*$K79*2)*AH79)</f>
        <v>686.89265766551762</v>
      </c>
      <c r="T79" s="10">
        <f>IF(T$19*1000^2/($M$16*($K79/2000)^2*PI())*($K79/1000)/$O$16&lt;2320,(64*52.5*1000*$M$16*(T$19/($M$16*($K79/2000)^2*PI()))^2)/((T$19*1000^2/($M$16*($K79/2000)^2*PI())*($K79/1000)/$O$16)*1000*$K79*2)*AI79,(0.3164*52.5*1000*$M$16*(T$19/($M$16*($K79/2000)^2*PI()))^2)/(((T$19*1000^2/($M$16*($K79/2000)^2*PI())*($K79/1000)/$O$16))^0.25*1000*$K79*2)*AI79)</f>
        <v>908.00466624621492</v>
      </c>
      <c r="U79" s="10">
        <f>IF(U$19*1000^2/($M$16*($K79/2000)^2*PI())*($K79/1000)/$O$16&lt;2320,(64*52.5*1000*$M$16*(U$19/($M$16*($K79/2000)^2*PI()))^2)/((U$19*1000^2/($M$16*($K79/2000)^2*PI())*($K79/1000)/$O$16)*1000*$K79*2)*AJ79,(0.3164*52.5*1000*$M$16*(U$19/($M$16*($K79/2000)^2*PI()))^2)/(((U$19*1000^2/($M$16*($K79/2000)^2*PI())*($K79/1000)/$O$16))^0.25*1000*$K79*2)*AJ79)</f>
        <v>1154.690980370975</v>
      </c>
      <c r="V79" s="10">
        <f>IF(V$19*1000^2/($M$16*($K79/2000)^2*PI())*($K79/1000)/$O$16&lt;2320,(64*52.5*1000*$M$16*(V$19/($M$16*($K79/2000)^2*PI()))^2)/((V$19*1000^2/($M$16*($K79/2000)^2*PI())*($K79/1000)/$O$16)*1000*$K79*2)*AK79,(0.3164*52.5*1000*$M$16*(V$19/($M$16*($K79/2000)^2*PI()))^2)/(((V$19*1000^2/($M$16*($K79/2000)^2*PI())*($K79/1000)/$O$16))^0.25*1000*$K79*2)*AK79)</f>
        <v>1425.7181108341331</v>
      </c>
      <c r="W79" s="10">
        <f>IF(W$19*1000^2/($M$16*($K79/2000)^2*PI())*($K79/1000)/$O$16&lt;2320,(64*52.5*1000*$M$16*(W$19/($M$16*($K79/2000)^2*PI()))^2)/((W$19*1000^2/($M$16*($K79/2000)^2*PI())*($K79/1000)/$O$16)*1000*$K79*2)*AL79,(0.3164*52.5*1000*$M$16*(W$19/($M$16*($K79/2000)^2*PI()))^2)/(((W$19*1000^2/($M$16*($K79/2000)^2*PI())*($K79/1000)/$O$16))^0.25*1000*$K79*2)*AL79)</f>
        <v>1720.0044478716354</v>
      </c>
      <c r="X79" s="10">
        <f>IF(X$19*1000^2/($M$16*($K79/2000)^2*PI())*($K79/1000)/$O$16&lt;2320,(64*52.5*1000*$M$16*(X$19/($M$16*($K79/2000)^2*PI()))^2)/((X$19*1000^2/($M$16*($K79/2000)^2*PI())*($K79/1000)/$O$16)*1000*$K79*2)*AM79,(0.3164*52.5*1000*$M$16*(X$19/($M$16*($K79/2000)^2*PI()))^2)/(((X$19*1000^2/($M$16*($K79/2000)^2*PI())*($K79/1000)/$O$16))^0.25*1000*$K79*2)*AM79)</f>
        <v>2036.5879230417813</v>
      </c>
      <c r="Y79" s="10">
        <f>IF(Y$19*1000^2/($M$16*($K79/2000)^2*PI())*($K79/1000)/$O$16&lt;2320,(64*52.5*1000*$M$16*(Y$19/($M$16*($K79/2000)^2*PI()))^2)/((Y$19*1000^2/($M$16*($K79/2000)^2*PI())*($K79/1000)/$O$16)*1000*$K79*2)*AN79,(0.3164*52.5*1000*$M$16*(Y$19/($M$16*($K79/2000)^2*PI()))^2)/(((Y$19*1000^2/($M$16*($K79/2000)^2*PI())*($K79/1000)/$O$16))^0.25*1000*$K79*2)*AN79)</f>
        <v>2374.602690017759</v>
      </c>
      <c r="AB79">
        <f>IF($J79="Einschraub Einlass 8 mm 90°",(3.75440399433201+381.288779117293*M$19)/(1 + 0.346808982897139*M$19 + 213.599531090185*M$19^2),IF($J79="Einschraub Einlass 10 mm 90°",(-0.259938473921258+4508.17480532467*M$19)/(1 + 112.297101041766*M$19 + 77.5845137478753*M$19^2),IF($J79="Einschraub Einlass 13 mm 90°",(-1.57295418643157+12009.33072578*M$19)/(1 + 125.085352545567*M$19 + -102.430377343291*M$19^2))))</f>
        <v>-0.25993847392125802</v>
      </c>
      <c r="AC79">
        <f>IF($J79="Einschraub Einlass 8 mm 90°",(3.75440399433201+381.288779117293*N$19)/(1 + 0.346808982897139*N$19 + 213.599531090185*N$19^2),IF($J79="Einschraub Einlass 10 mm 90°",(-0.259938473921258+4508.17480532467*N$19)/(1 + 112.297101041766*N$19 + 77.5845137478753*N$19^2),IF($J79="Einschraub Einlass 13 mm 90°",(-1.57295418643157+12009.33072578*N$19)/(1 + 125.085352545567*N$19 + -102.430377343291*N$19^2))))</f>
        <v>18.811887659953328</v>
      </c>
      <c r="AD79">
        <f>IF($J79="Einschraub Einlass 8 mm 90°",(3.75440399433201+381.288779117293*O$19)/(1 + 0.346808982897139*O$19 + 213.599531090185*O$19^2),IF($J79="Einschraub Einlass 10 mm 90°",(-0.259938473921258+4508.17480532467*O$19)/(1 + 112.297101041766*O$19 + 77.5845137478753*O$19^2),IF($J79="Einschraub Einlass 13 mm 90°",(-1.57295418643157+12009.33072578*O$19)/(1 + 125.085352545567*O$19 + -102.430377343291*O$19^2))))</f>
        <v>24.29285586344913</v>
      </c>
      <c r="AE79">
        <f>IF($J79="Einschraub Einlass 8 mm 90°",(3.75440399433201+381.288779117293*P$19)/(1 + 0.346808982897139*P$19 + 213.599531090185*P$19^2),IF($J79="Einschraub Einlass 10 mm 90°",(-0.259938473921258+4508.17480532467*P$19)/(1 + 112.297101041766*P$19 + 77.5845137478753*P$19^2),IF($J79="Einschraub Einlass 13 mm 90°",(-1.57295418643157+12009.33072578*P$19)/(1 + 125.085352545567*P$19 + -102.430377343291*P$19^2))))</f>
        <v>27.434916336607728</v>
      </c>
      <c r="AF79">
        <f>IF($J79="Einschraub Einlass 8 mm 90°",(3.75440399433201+381.288779117293*Q$19)/(1 + 0.346808982897139*Q$19 + 213.599531090185*Q$19^2),IF($J79="Einschraub Einlass 10 mm 90°",(-0.259938473921258+4508.17480532467*Q$19)/(1 + 112.297101041766*Q$19 + 77.5845137478753*Q$19^2),IF($J79="Einschraub Einlass 13 mm 90°",(-1.57295418643157+12009.33072578*Q$19)/(1 + 125.085352545567*Q$19 + -102.430377343291*Q$19^2))))</f>
        <v>29.442988263990163</v>
      </c>
      <c r="AG79">
        <f>IF($J79="Einschraub Einlass 8 mm 90°",(3.75440399433201+381.288779117293*R$19)/(1 + 0.346808982897139*R$19 + 213.599531090185*R$19^2),IF($J79="Einschraub Einlass 10 mm 90°",(-0.259938473921258+4508.17480532467*R$19)/(1 + 112.297101041766*R$19 + 77.5845137478753*R$19^2),IF($J79="Einschraub Einlass 13 mm 90°",(-1.57295418643157+12009.33072578*R$19)/(1 + 125.085352545567*R$19 + -102.430377343291*R$19^2))))</f>
        <v>30.815981115434855</v>
      </c>
      <c r="AH79">
        <f>IF($J79="Einschraub Einlass 8 mm 90°",(3.75440399433201+381.288779117293*S$19)/(1 + 0.346808982897139*S$19 + 213.599531090185*S$19^2),IF($J79="Einschraub Einlass 10 mm 90°",(-0.259938473921258+4508.17480532467*S$19)/(1 + 112.297101041766*S$19 + 77.5845137478753*S$19^2),IF($J79="Einschraub Einlass 13 mm 90°",(-1.57295418643157+12009.33072578*S$19)/(1 + 125.085352545567*S$19 + -102.430377343291*S$19^2))))</f>
        <v>31.797819135122872</v>
      </c>
      <c r="AI79">
        <f>IF($J79="Einschraub Einlass 8 mm 90°",(3.75440399433201+381.288779117293*T$19)/(1 + 0.346808982897139*T$19 + 213.599531090185*T$19^2),IF($J79="Einschraub Einlass 10 mm 90°",(-0.259938473921258+4508.17480532467*T$19)/(1 + 112.297101041766*T$19 + 77.5845137478753*T$19^2),IF($J79="Einschraub Einlass 13 mm 90°",(-1.57295418643157+12009.33072578*T$19)/(1 + 125.085352545567*T$19 + -102.430377343291*T$19^2))))</f>
        <v>32.521880614868252</v>
      </c>
      <c r="AJ79">
        <f>IF($J79="Einschraub Einlass 8 mm 90°",(3.75440399433201+381.288779117293*U$19)/(1 + 0.346808982897139*U$19 + 213.599531090185*U$19^2),IF($J79="Einschraub Einlass 10 mm 90°",(-0.259938473921258+4508.17480532467*U$19)/(1 + 112.297101041766*U$19 + 77.5845137478753*U$19^2),IF($J79="Einschraub Einlass 13 mm 90°",(-1.57295418643157+12009.33072578*U$19)/(1 + 125.085352545567*U$19 + -102.430377343291*U$19^2))))</f>
        <v>33.067245563189445</v>
      </c>
      <c r="AK79">
        <f>IF($J79="Einschraub Einlass 8 mm 90°",(3.75440399433201+381.288779117293*V$19)/(1 + 0.346808982897139*V$19 + 213.599531090185*V$19^2),IF($J79="Einschraub Einlass 10 mm 90°",(-0.259938473921258+4508.17480532467*V$19)/(1 + 112.297101041766*V$19 + 77.5845137478753*V$19^2),IF($J79="Einschraub Einlass 13 mm 90°",(-1.57295418643157+12009.33072578*V$19)/(1 + 125.085352545567*V$19 + -102.430377343291*V$19^2))))</f>
        <v>33.48377183532002</v>
      </c>
      <c r="AL79">
        <f>IF($J79="Einschraub Einlass 8 mm 90°",(3.75440399433201+381.288779117293*W$19)/(1 + 0.346808982897139*W$19 + 213.599531090185*W$19^2),IF($J79="Einschraub Einlass 10 mm 90°",(-0.259938473921258+4508.17480532467*W$19)/(1 + 112.297101041766*W$19 + 77.5845137478753*W$19^2),IF($J79="Einschraub Einlass 13 mm 90°",(-1.57295418643157+12009.33072578*W$19)/(1 + 125.085352545567*W$19 + -102.430377343291*W$19^2))))</f>
        <v>33.804449511310906</v>
      </c>
      <c r="AM79">
        <f>IF($J79="Einschraub Einlass 8 mm 90°",(3.75440399433201+381.288779117293*X$19)/(1 + 0.346808982897139*X$19 + 213.599531090185*X$19^2),IF($J79="Einschraub Einlass 10 mm 90°",(-0.259938473921258+4508.17480532467*X$19)/(1 + 112.297101041766*X$19 + 77.5845137478753*X$19^2),IF($J79="Einschraub Einlass 13 mm 90°",(-1.57295418643157+12009.33072578*X$19)/(1 + 125.085352545567*X$19 + -102.430377343291*X$19^2))))</f>
        <v>34.051976228422518</v>
      </c>
      <c r="AN79">
        <f>IF($J79="Einschraub Einlass 8 mm 90°",(3.75440399433201+381.288779117293*Y$19)/(1 + 0.346808982897139*Y$19 + 213.599531090185*Y$19^2),IF($J79="Einschraub Einlass 10 mm 90°",(-0.259938473921258+4508.17480532467*Y$19)/(1 + 112.297101041766*Y$19 + 77.5845137478753*Y$19^2),IF($J79="Einschraub Einlass 13 mm 90°",(-1.57295418643157+12009.33072578*Y$19)/(1 + 125.085352545567*Y$19 + -102.430377343291*Y$19^2))))</f>
        <v>34.242479199433689</v>
      </c>
      <c r="AQ79">
        <v>56</v>
      </c>
      <c r="AR79" s="14">
        <v>4.6611065776986402</v>
      </c>
      <c r="AS79" s="13">
        <f t="shared" si="16"/>
        <v>45629.191557517086</v>
      </c>
      <c r="AT79" s="9">
        <v>3.6180970105369443</v>
      </c>
      <c r="AU79" s="13">
        <f t="shared" si="17"/>
        <v>35418.808563047613</v>
      </c>
    </row>
    <row r="80" spans="1:47" x14ac:dyDescent="0.35">
      <c r="A80">
        <f t="shared" si="12"/>
        <v>57</v>
      </c>
      <c r="B80" s="13">
        <f t="shared" si="13"/>
        <v>45614.143474783385</v>
      </c>
      <c r="F80">
        <f t="shared" si="14"/>
        <v>57</v>
      </c>
      <c r="G80" s="13">
        <f t="shared" si="15"/>
        <v>35400.146237726629</v>
      </c>
      <c r="I80" s="1">
        <v>10</v>
      </c>
      <c r="J80" t="s">
        <v>33</v>
      </c>
      <c r="K80">
        <f>IF(J80="Einschraub Auslass 8 mm 90°",8,IF(J80="Einschraub Auslass 10 mm 90°",10,IF(J80="Einschraub Auslass 13 mm 90°",13)))</f>
        <v>10</v>
      </c>
      <c r="L80" s="4" t="s">
        <v>12</v>
      </c>
      <c r="M80" s="1">
        <v>0</v>
      </c>
      <c r="N80" s="10">
        <f>IF(N$19*1000^2/($M$16*($K80/2000)^2*PI())*($K80/1000)/$O$16&lt;2320,(64*52.5*1000*$M$16*(N$19/($M$16*($K80/2000)^2*PI()))^2)/((N$19*1000^2/($M$16*($K80/2000)^2*PI())*($K80/1000)/$O$16)*1000*$K80*2)*AC80,(0.3164*52.5*1000*$M$16*(N$19/($M$16*($K80/2000)^2*PI()))^2)/(((N$19*1000^2/($M$16*($K80/2000)^2*PI())*($K80/1000)/$O$16))^0.25*1000*$K80*2)*AC80)</f>
        <v>35.306913089701261</v>
      </c>
      <c r="O80" s="10">
        <f>IF(O$19*1000^2/($M$16*($K80/2000)^2*PI())*($K80/1000)/$O$16&lt;2320,(64*52.5*1000*$M$16*(O$19/($M$16*($K80/2000)^2*PI()))^2)/((O$19*1000^2/($M$16*($K80/2000)^2*PI())*($K80/1000)/$O$16)*1000*$K80*2)*AD80,(0.3164*52.5*1000*$M$16*(O$19/($M$16*($K80/2000)^2*PI()))^2)/(((O$19*1000^2/($M$16*($K80/2000)^2*PI())*($K80/1000)/$O$16))^0.25*1000*$K80*2)*AD80)</f>
        <v>140.14221718374867</v>
      </c>
      <c r="P80" s="10">
        <f>IF(P$19*1000^2/($M$16*($K80/2000)^2*PI())*($K80/1000)/$O$16&lt;2320,(64*52.5*1000*$M$16*(P$19/($M$16*($K80/2000)^2*PI()))^2)/((P$19*1000^2/($M$16*($K80/2000)^2*PI())*($K80/1000)/$O$16)*1000*$K80*2)*AE80,(0.3164*52.5*1000*$M$16*(P$19/($M$16*($K80/2000)^2*PI()))^2)/(((P$19*1000^2/($M$16*($K80/2000)^2*PI())*($K80/1000)/$O$16))^0.25*1000*$K80*2)*AE80)</f>
        <v>297.57411205038517</v>
      </c>
      <c r="Q80" s="10">
        <f>IF(Q$19*1000^2/($M$16*($K80/2000)^2*PI())*($K80/1000)/$O$16&lt;2320,(64*52.5*1000*$M$16*(Q$19/($M$16*($K80/2000)^2*PI()))^2)/((Q$19*1000^2/($M$16*($K80/2000)^2*PI())*($K80/1000)/$O$16)*1000*$K80*2)*AF80,(0.3164*52.5*1000*$M$16*(Q$19/($M$16*($K80/2000)^2*PI()))^2)/(((Q$19*1000^2/($M$16*($K80/2000)^2*PI())*($K80/1000)/$O$16))^0.25*1000*$K80*2)*AF80)</f>
        <v>509.03704905951304</v>
      </c>
      <c r="R80" s="10">
        <f>IF(R$19*1000^2/($M$16*($K80/2000)^2*PI())*($K80/1000)/$O$16&lt;2320,(64*52.5*1000*$M$16*(R$19/($M$16*($K80/2000)^2*PI()))^2)/((R$19*1000^2/($M$16*($K80/2000)^2*PI())*($K80/1000)/$O$16)*1000*$K80*2)*AG80,(0.3164*52.5*1000*$M$16*(R$19/($M$16*($K80/2000)^2*PI()))^2)/(((R$19*1000^2/($M$16*($K80/2000)^2*PI())*($K80/1000)/$O$16))^0.25*1000*$K80*2)*AG80)</f>
        <v>771.97461697034032</v>
      </c>
      <c r="S80" s="10">
        <f>IF(S$19*1000^2/($M$16*($K80/2000)^2*PI())*($K80/1000)/$O$16&lt;2320,(64*52.5*1000*$M$16*(S$19/($M$16*($K80/2000)^2*PI()))^2)/((S$19*1000^2/($M$16*($K80/2000)^2*PI())*($K80/1000)/$O$16)*1000*$K80*2)*AH80,(0.3164*52.5*1000*$M$16*(S$19/($M$16*($K80/2000)^2*PI()))^2)/(((S$19*1000^2/($M$16*($K80/2000)^2*PI())*($K80/1000)/$O$16))^0.25*1000*$K80*2)*AH80)</f>
        <v>1084.5671150688522</v>
      </c>
      <c r="T80" s="10">
        <f>IF(T$19*1000^2/($M$16*($K80/2000)^2*PI())*($K80/1000)/$O$16&lt;2320,(64*52.5*1000*$M$16*(T$19/($M$16*($K80/2000)^2*PI()))^2)/((T$19*1000^2/($M$16*($K80/2000)^2*PI())*($K80/1000)/$O$16)*1000*$K80*2)*AI80,(0.3164*52.5*1000*$M$16*(T$19/($M$16*($K80/2000)^2*PI()))^2)/(((T$19*1000^2/($M$16*($K80/2000)^2*PI())*($K80/1000)/$O$16))^0.25*1000*$K80*2)*AI80)</f>
        <v>1445.5057852246116</v>
      </c>
      <c r="U80" s="10">
        <f>IF(U$19*1000^2/($M$16*($K80/2000)^2*PI())*($K80/1000)/$O$16&lt;2320,(64*52.5*1000*$M$16*(U$19/($M$16*($K80/2000)^2*PI()))^2)/((U$19*1000^2/($M$16*($K80/2000)^2*PI())*($K80/1000)/$O$16)*1000*$K80*2)*AJ80,(0.3164*52.5*1000*$M$16*(U$19/($M$16*($K80/2000)^2*PI()))^2)/(((U$19*1000^2/($M$16*($K80/2000)^2*PI())*($K80/1000)/$O$16))^0.25*1000*$K80*2)*AJ80)</f>
        <v>1853.8434729666224</v>
      </c>
      <c r="V80" s="10">
        <f>IF(V$19*1000^2/($M$16*($K80/2000)^2*PI())*($K80/1000)/$O$16&lt;2320,(64*52.5*1000*$M$16*(V$19/($M$16*($K80/2000)^2*PI()))^2)/((V$19*1000^2/($M$16*($K80/2000)^2*PI())*($K80/1000)/$O$16)*1000*$K80*2)*AK80,(0.3164*52.5*1000*$M$16*(V$19/($M$16*($K80/2000)^2*PI()))^2)/(((V$19*1000^2/($M$16*($K80/2000)^2*PI())*($K80/1000)/$O$16))^0.25*1000*$K80*2)*AK80)</f>
        <v>2308.8980513668066</v>
      </c>
      <c r="W80" s="10">
        <f>IF(W$19*1000^2/($M$16*($K80/2000)^2*PI())*($K80/1000)/$O$16&lt;2320,(64*52.5*1000*$M$16*(W$19/($M$16*($K80/2000)^2*PI()))^2)/((W$19*1000^2/($M$16*($K80/2000)^2*PI())*($K80/1000)/$O$16)*1000*$K80*2)*AL80,(0.3164*52.5*1000*$M$16*(W$19/($M$16*($K80/2000)^2*PI()))^2)/(((W$19*1000^2/($M$16*($K80/2000)^2*PI())*($K80/1000)/$O$16))^0.25*1000*$K80*2)*AL80)</f>
        <v>2810.1884468351495</v>
      </c>
      <c r="X80" s="10">
        <f>IF(X$19*1000^2/($M$16*($K80/2000)^2*PI())*($K80/1000)/$O$16&lt;2320,(64*52.5*1000*$M$16*(X$19/($M$16*($K80/2000)^2*PI()))^2)/((X$19*1000^2/($M$16*($K80/2000)^2*PI())*($K80/1000)/$O$16)*1000*$K80*2)*AM80,(0.3164*52.5*1000*$M$16*(X$19/($M$16*($K80/2000)^2*PI()))^2)/(((X$19*1000^2/($M$16*($K80/2000)^2*PI())*($K80/1000)/$O$16))^0.25*1000*$K80*2)*AM80)</f>
        <v>3357.3909095260683</v>
      </c>
      <c r="Y80" s="10">
        <f>IF(Y$19*1000^2/($M$16*($K80/2000)^2*PI())*($K80/1000)/$O$16&lt;2320,(64*52.5*1000*$M$16*(Y$19/($M$16*($K80/2000)^2*PI()))^2)/((Y$19*1000^2/($M$16*($K80/2000)^2*PI())*($K80/1000)/$O$16)*1000*$K80*2)*AN80,(0.3164*52.5*1000*$M$16*(Y$19/($M$16*($K80/2000)^2*PI()))^2)/(((Y$19*1000^2/($M$16*($K80/2000)^2*PI())*($K80/1000)/$O$16))^0.25*1000*$K80*2)*AN80)</f>
        <v>3950.3082091307401</v>
      </c>
      <c r="AB80">
        <f>IF($J80="Einschraub Auslass 8 mm 90°",(4.52968504201887+929.452518773881*M$19)/(1 + 16.7117091450414*M$19 + 82.2554423109011*M$19^2),IF($J80="Einschraub Auslass 10 mm 90°",(-3.20672717836386+7540.5630264938*M$19)/(1 + 126.514314854795*M$19 + -113.72718942959*M$19^2),IF($J80="Einschraub Auslass 13 mm 90°",135.984681342664 - 145.535559326006*EXP(-31.4269790056058*M$19^0.811196726205011))))</f>
        <v>-3.20672717836386</v>
      </c>
      <c r="AC80">
        <f>IF($J80="Einschraub Auslass 8 mm 90°",(4.52968504201887+929.452518773881*N$19)/(1 + 16.7117091450414*N$19 + 82.2554423109011*N$19^2),IF($J80="Einschraub Auslass 10 mm 90°",(-3.20672717836386+7540.5630264938*N$19)/(1 + 126.514314854795*N$19 + -113.72718942959*N$19^2),IF($J80="Einschraub Auslass 13 mm 90°",135.984681342664 - 145.535559326006*EXP(-31.4269790056058*N$19^0.811196726205011))))</f>
        <v>28.489999999999995</v>
      </c>
      <c r="AD80">
        <f>IF($J80="Einschraub Auslass 8 mm 90°",(4.52968504201887+929.452518773881*O$19)/(1 + 16.7117091450414*O$19 + 82.2554423109011*O$19^2),IF($J80="Einschraub Auslass 10 mm 90°",(-3.20672717836386+7540.5630264938*O$19)/(1 + 126.514314854795*O$19 + -113.72718942959*O$19^2),IF($J80="Einschraub Auslass 13 mm 90°",135.984681342664 - 145.535559326006*EXP(-31.4269790056058*O$19^0.811196726205011))))</f>
        <v>37.236999284888917</v>
      </c>
      <c r="AE80">
        <f>IF($J80="Einschraub Auslass 8 mm 90°",(4.52968504201887+929.452518773881*P$19)/(1 + 16.7117091450414*P$19 + 82.2554423109011*P$19^2),IF($J80="Einschraub Auslass 10 mm 90°",(-3.20672717836386+7540.5630264938*P$19)/(1 + 126.514314854795*P$19 + -113.72718942959*P$19^2),IF($J80="Einschraub Auslass 13 mm 90°",135.984681342664 - 145.535559326006*EXP(-31.4269790056058*P$19^0.811196726205011))))</f>
        <v>42.35672844617924</v>
      </c>
      <c r="AF80">
        <f>IF($J80="Einschraub Auslass 8 mm 90°",(4.52968504201887+929.452518773881*Q$19)/(1 + 16.7117091450414*Q$19 + 82.2554423109011*Q$19^2),IF($J80="Einschraub Auslass 10 mm 90°",(-3.20672717836386+7540.5630264938*Q$19)/(1 + 126.514314854795*Q$19 + -113.72718942959*Q$19^2),IF($J80="Einschraub Auslass 13 mm 90°",135.984681342664 - 145.535559326006*EXP(-31.4269790056058*Q$19^0.811196726205011))))</f>
        <v>45.78000000000003</v>
      </c>
      <c r="AG80">
        <f>IF($J80="Einschraub Auslass 8 mm 90°",(4.52968504201887+929.452518773881*R$19)/(1 + 16.7117091450414*R$19 + 82.2554423109011*R$19^2),IF($J80="Einschraub Auslass 10 mm 90°",(-3.20672717836386+7540.5630264938*R$19)/(1 + 126.514314854795*R$19 + -113.72718942959*R$19^2),IF($J80="Einschraub Auslass 13 mm 90°",135.984681342664 - 145.535559326006*EXP(-31.4269790056058*R$19^0.811196726205011))))</f>
        <v>48.274781117893504</v>
      </c>
      <c r="AH80">
        <f>IF($J80="Einschraub Auslass 8 mm 90°",(4.52968504201887+929.452518773881*S$19)/(1 + 16.7117091450414*S$19 + 82.2554423109011*S$19^2),IF($J80="Einschraub Auslass 10 mm 90°",(-3.20672717836386+7540.5630264938*S$19)/(1 + 126.514314854795*S$19 + -113.72718942959*S$19^2),IF($J80="Einschraub Auslass 13 mm 90°",135.984681342664 - 145.535559326006*EXP(-31.4269790056058*S$19^0.811196726205011))))</f>
        <v>50.207071774604316</v>
      </c>
      <c r="AI80">
        <f>IF($J80="Einschraub Auslass 8 mm 90°",(4.52968504201887+929.452518773881*T$19)/(1 + 16.7117091450414*T$19 + 82.2554423109011*T$19^2),IF($J80="Einschraub Auslass 10 mm 90°",(-3.20672717836386+7540.5630264938*T$19)/(1 + 126.514314854795*T$19 + -113.72718942959*T$19^2),IF($J80="Einschraub Auslass 13 mm 90°",135.984681342664 - 145.535559326006*EXP(-31.4269790056058*T$19^0.811196726205011))))</f>
        <v>51.773485668881797</v>
      </c>
      <c r="AJ80">
        <f>IF($J80="Einschraub Auslass 8 mm 90°",(4.52968504201887+929.452518773881*U$19)/(1 + 16.7117091450414*U$19 + 82.2554423109011*U$19^2),IF($J80="Einschraub Auslass 10 mm 90°",(-3.20672717836386+7540.5630264938*U$19)/(1 + 126.514314854795*U$19 + -113.72718942959*U$19^2),IF($J80="Einschraub Auslass 13 mm 90°",135.984681342664 - 145.535559326006*EXP(-31.4269790056058*U$19^0.811196726205011))))</f>
        <v>53.089093444385036</v>
      </c>
      <c r="AK80">
        <f>IF($J80="Einschraub Auslass 8 mm 90°",(4.52968504201887+929.452518773881*V$19)/(1 + 16.7117091450414*V$19 + 82.2554423109011*V$19^2),IF($J80="Einschraub Auslass 10 mm 90°",(-3.20672717836386+7540.5630264938*V$19)/(1 + 126.514314854795*V$19 + -113.72718942959*V$19^2),IF($J80="Einschraub Auslass 13 mm 90°",135.984681342664 - 145.535559326006*EXP(-31.4269790056058*V$19^0.811196726205011))))</f>
        <v>54.225737160447281</v>
      </c>
      <c r="AL80">
        <f>IF($J80="Einschraub Auslass 8 mm 90°",(4.52968504201887+929.452518773881*W$19)/(1 + 16.7117091450414*W$19 + 82.2554423109011*W$19^2),IF($J80="Einschraub Auslass 10 mm 90°",(-3.20672717836386+7540.5630264938*W$19)/(1 + 126.514314854795*W$19 + -113.72718942959*W$19^2),IF($J80="Einschraub Auslass 13 mm 90°",135.984681342664 - 145.535559326006*EXP(-31.4269790056058*W$19^0.811196726205011))))</f>
        <v>55.2305975637789</v>
      </c>
      <c r="AM80">
        <f>IF($J80="Einschraub Auslass 8 mm 90°",(4.52968504201887+929.452518773881*X$19)/(1 + 16.7117091450414*X$19 + 82.2554423109011*X$19^2),IF($J80="Einschraub Auslass 10 mm 90°",(-3.20672717836386+7540.5630264938*X$19)/(1 + 126.514314854795*X$19 + -113.72718942959*X$19^2),IF($J80="Einschraub Auslass 13 mm 90°",135.984681342664 - 145.535559326006*EXP(-31.4269790056058*X$19^0.811196726205011))))</f>
        <v>56.13594883247184</v>
      </c>
      <c r="AN80">
        <f>IF($J80="Einschraub Auslass 8 mm 90°",(4.52968504201887+929.452518773881*Y$19)/(1 + 16.7117091450414*Y$19 + 82.2554423109011*Y$19^2),IF($J80="Einschraub Auslass 10 mm 90°",(-3.20672717836386+7540.5630264938*Y$19)/(1 + 126.514314854795*Y$19 + -113.72718942959*Y$19^2),IF($J80="Einschraub Auslass 13 mm 90°",135.984681342664 - 145.535559326006*EXP(-31.4269790056058*Y$19^0.811196726205011))))</f>
        <v>56.964622861393245</v>
      </c>
      <c r="AQ80">
        <v>57</v>
      </c>
      <c r="AR80" s="14">
        <v>4.6595693881272799</v>
      </c>
      <c r="AS80" s="13">
        <f t="shared" si="16"/>
        <v>45614.143474783385</v>
      </c>
      <c r="AT80" s="9">
        <v>3.6161906193794513</v>
      </c>
      <c r="AU80" s="13">
        <f t="shared" si="17"/>
        <v>35400.146237726629</v>
      </c>
    </row>
    <row r="81" spans="1:47" x14ac:dyDescent="0.35">
      <c r="A81">
        <f t="shared" si="12"/>
        <v>58</v>
      </c>
      <c r="B81" s="13">
        <f t="shared" si="13"/>
        <v>45598.777921308982</v>
      </c>
      <c r="F81">
        <f t="shared" si="14"/>
        <v>58</v>
      </c>
      <c r="G81" s="13">
        <f t="shared" si="15"/>
        <v>35381.38542639988</v>
      </c>
      <c r="I81" s="1">
        <v>11</v>
      </c>
      <c r="J81" t="s">
        <v>33</v>
      </c>
      <c r="K81">
        <f t="shared" ref="K81:K82" si="23">IF(J81="Einschraub Auslass 8 mm 90°",8,IF(J81="Einschraub Auslass 10 mm 90°",10,IF(J81="Einschraub Auslass 13 mm 90°",13)))</f>
        <v>10</v>
      </c>
      <c r="L81" s="4" t="s">
        <v>12</v>
      </c>
      <c r="M81" s="1">
        <v>0</v>
      </c>
      <c r="N81" s="10">
        <f>IF(N$19*1000^2/($M$16*($K81/2000)^2*PI())*($K81/1000)/$O$16&lt;2320,(64*52.5*1000*$M$16*(N$19/($M$16*($K81/2000)^2*PI()))^2)/((N$19*1000^2/($M$16*($K81/2000)^2*PI())*($K81/1000)/$O$16)*1000*$K81*2)*AC81,(0.3164*52.5*1000*$M$16*(N$19/($M$16*($K81/2000)^2*PI()))^2)/(((N$19*1000^2/($M$16*($K81/2000)^2*PI())*($K81/1000)/$O$16))^0.25*1000*$K81*2)*AC81)</f>
        <v>35.306913089701261</v>
      </c>
      <c r="O81" s="10">
        <f>IF(O$19*1000^2/($M$16*($K81/2000)^2*PI())*($K81/1000)/$O$16&lt;2320,(64*52.5*1000*$M$16*(O$19/($M$16*($K81/2000)^2*PI()))^2)/((O$19*1000^2/($M$16*($K81/2000)^2*PI())*($K81/1000)/$O$16)*1000*$K81*2)*AD81,(0.3164*52.5*1000*$M$16*(O$19/($M$16*($K81/2000)^2*PI()))^2)/(((O$19*1000^2/($M$16*($K81/2000)^2*PI())*($K81/1000)/$O$16))^0.25*1000*$K81*2)*AD81)</f>
        <v>140.14221718374867</v>
      </c>
      <c r="P81" s="10">
        <f>IF(P$19*1000^2/($M$16*($K81/2000)^2*PI())*($K81/1000)/$O$16&lt;2320,(64*52.5*1000*$M$16*(P$19/($M$16*($K81/2000)^2*PI()))^2)/((P$19*1000^2/($M$16*($K81/2000)^2*PI())*($K81/1000)/$O$16)*1000*$K81*2)*AE81,(0.3164*52.5*1000*$M$16*(P$19/($M$16*($K81/2000)^2*PI()))^2)/(((P$19*1000^2/($M$16*($K81/2000)^2*PI())*($K81/1000)/$O$16))^0.25*1000*$K81*2)*AE81)</f>
        <v>297.57411205038517</v>
      </c>
      <c r="Q81" s="10">
        <f>IF(Q$19*1000^2/($M$16*($K81/2000)^2*PI())*($K81/1000)/$O$16&lt;2320,(64*52.5*1000*$M$16*(Q$19/($M$16*($K81/2000)^2*PI()))^2)/((Q$19*1000^2/($M$16*($K81/2000)^2*PI())*($K81/1000)/$O$16)*1000*$K81*2)*AF81,(0.3164*52.5*1000*$M$16*(Q$19/($M$16*($K81/2000)^2*PI()))^2)/(((Q$19*1000^2/($M$16*($K81/2000)^2*PI())*($K81/1000)/$O$16))^0.25*1000*$K81*2)*AF81)</f>
        <v>509.03704905951304</v>
      </c>
      <c r="R81" s="10">
        <f>IF(R$19*1000^2/($M$16*($K81/2000)^2*PI())*($K81/1000)/$O$16&lt;2320,(64*52.5*1000*$M$16*(R$19/($M$16*($K81/2000)^2*PI()))^2)/((R$19*1000^2/($M$16*($K81/2000)^2*PI())*($K81/1000)/$O$16)*1000*$K81*2)*AG81,(0.3164*52.5*1000*$M$16*(R$19/($M$16*($K81/2000)^2*PI()))^2)/(((R$19*1000^2/($M$16*($K81/2000)^2*PI())*($K81/1000)/$O$16))^0.25*1000*$K81*2)*AG81)</f>
        <v>771.97461697034032</v>
      </c>
      <c r="S81" s="10">
        <f>IF(S$19*1000^2/($M$16*($K81/2000)^2*PI())*($K81/1000)/$O$16&lt;2320,(64*52.5*1000*$M$16*(S$19/($M$16*($K81/2000)^2*PI()))^2)/((S$19*1000^2/($M$16*($K81/2000)^2*PI())*($K81/1000)/$O$16)*1000*$K81*2)*AH81,(0.3164*52.5*1000*$M$16*(S$19/($M$16*($K81/2000)^2*PI()))^2)/(((S$19*1000^2/($M$16*($K81/2000)^2*PI())*($K81/1000)/$O$16))^0.25*1000*$K81*2)*AH81)</f>
        <v>1084.5671150688522</v>
      </c>
      <c r="T81" s="10">
        <f>IF(T$19*1000^2/($M$16*($K81/2000)^2*PI())*($K81/1000)/$O$16&lt;2320,(64*52.5*1000*$M$16*(T$19/($M$16*($K81/2000)^2*PI()))^2)/((T$19*1000^2/($M$16*($K81/2000)^2*PI())*($K81/1000)/$O$16)*1000*$K81*2)*AI81,(0.3164*52.5*1000*$M$16*(T$19/($M$16*($K81/2000)^2*PI()))^2)/(((T$19*1000^2/($M$16*($K81/2000)^2*PI())*($K81/1000)/$O$16))^0.25*1000*$K81*2)*AI81)</f>
        <v>1445.5057852246116</v>
      </c>
      <c r="U81" s="10">
        <f>IF(U$19*1000^2/($M$16*($K81/2000)^2*PI())*($K81/1000)/$O$16&lt;2320,(64*52.5*1000*$M$16*(U$19/($M$16*($K81/2000)^2*PI()))^2)/((U$19*1000^2/($M$16*($K81/2000)^2*PI())*($K81/1000)/$O$16)*1000*$K81*2)*AJ81,(0.3164*52.5*1000*$M$16*(U$19/($M$16*($K81/2000)^2*PI()))^2)/(((U$19*1000^2/($M$16*($K81/2000)^2*PI())*($K81/1000)/$O$16))^0.25*1000*$K81*2)*AJ81)</f>
        <v>1853.8434729666224</v>
      </c>
      <c r="V81" s="10">
        <f>IF(V$19*1000^2/($M$16*($K81/2000)^2*PI())*($K81/1000)/$O$16&lt;2320,(64*52.5*1000*$M$16*(V$19/($M$16*($K81/2000)^2*PI()))^2)/((V$19*1000^2/($M$16*($K81/2000)^2*PI())*($K81/1000)/$O$16)*1000*$K81*2)*AK81,(0.3164*52.5*1000*$M$16*(V$19/($M$16*($K81/2000)^2*PI()))^2)/(((V$19*1000^2/($M$16*($K81/2000)^2*PI())*($K81/1000)/$O$16))^0.25*1000*$K81*2)*AK81)</f>
        <v>2308.8980513668066</v>
      </c>
      <c r="W81" s="10">
        <f>IF(W$19*1000^2/($M$16*($K81/2000)^2*PI())*($K81/1000)/$O$16&lt;2320,(64*52.5*1000*$M$16*(W$19/($M$16*($K81/2000)^2*PI()))^2)/((W$19*1000^2/($M$16*($K81/2000)^2*PI())*($K81/1000)/$O$16)*1000*$K81*2)*AL81,(0.3164*52.5*1000*$M$16*(W$19/($M$16*($K81/2000)^2*PI()))^2)/(((W$19*1000^2/($M$16*($K81/2000)^2*PI())*($K81/1000)/$O$16))^0.25*1000*$K81*2)*AL81)</f>
        <v>2810.1884468351495</v>
      </c>
      <c r="X81" s="10">
        <f>IF(X$19*1000^2/($M$16*($K81/2000)^2*PI())*($K81/1000)/$O$16&lt;2320,(64*52.5*1000*$M$16*(X$19/($M$16*($K81/2000)^2*PI()))^2)/((X$19*1000^2/($M$16*($K81/2000)^2*PI())*($K81/1000)/$O$16)*1000*$K81*2)*AM81,(0.3164*52.5*1000*$M$16*(X$19/($M$16*($K81/2000)^2*PI()))^2)/(((X$19*1000^2/($M$16*($K81/2000)^2*PI())*($K81/1000)/$O$16))^0.25*1000*$K81*2)*AM81)</f>
        <v>3357.3909095260683</v>
      </c>
      <c r="Y81" s="10">
        <f>IF(Y$19*1000^2/($M$16*($K81/2000)^2*PI())*($K81/1000)/$O$16&lt;2320,(64*52.5*1000*$M$16*(Y$19/($M$16*($K81/2000)^2*PI()))^2)/((Y$19*1000^2/($M$16*($K81/2000)^2*PI())*($K81/1000)/$O$16)*1000*$K81*2)*AN81,(0.3164*52.5*1000*$M$16*(Y$19/($M$16*($K81/2000)^2*PI()))^2)/(((Y$19*1000^2/($M$16*($K81/2000)^2*PI())*($K81/1000)/$O$16))^0.25*1000*$K81*2)*AN81)</f>
        <v>3950.3082091307401</v>
      </c>
      <c r="AB81">
        <f>IF($J81="Einschraub Auslass 8 mm 90°",(4.52968504201887+929.452518773881*M$19)/(1 + 16.7117091450414*M$19 + 82.2554423109011*M$19^2),IF($J81="Einschraub Auslass 10 mm 90°",(-3.20672717836386+7540.5630264938*M$19)/(1 + 126.514314854795*M$19 + -113.72718942959*M$19^2),IF($J81="Einschraub Auslass 13 mm 90°",135.984681342664 - 145.535559326006*EXP(-31.4269790056058*M$19^0.811196726205011))))</f>
        <v>-3.20672717836386</v>
      </c>
      <c r="AC81">
        <f>IF($J81="Einschraub Auslass 8 mm 90°",(4.52968504201887+929.452518773881*N$19)/(1 + 16.7117091450414*N$19 + 82.2554423109011*N$19^2),IF($J81="Einschraub Auslass 10 mm 90°",(-3.20672717836386+7540.5630264938*N$19)/(1 + 126.514314854795*N$19 + -113.72718942959*N$19^2),IF($J81="Einschraub Auslass 13 mm 90°",135.984681342664 - 145.535559326006*EXP(-31.4269790056058*N$19^0.811196726205011))))</f>
        <v>28.489999999999995</v>
      </c>
      <c r="AD81">
        <f>IF($J81="Einschraub Auslass 8 mm 90°",(4.52968504201887+929.452518773881*O$19)/(1 + 16.7117091450414*O$19 + 82.2554423109011*O$19^2),IF($J81="Einschraub Auslass 10 mm 90°",(-3.20672717836386+7540.5630264938*O$19)/(1 + 126.514314854795*O$19 + -113.72718942959*O$19^2),IF($J81="Einschraub Auslass 13 mm 90°",135.984681342664 - 145.535559326006*EXP(-31.4269790056058*O$19^0.811196726205011))))</f>
        <v>37.236999284888917</v>
      </c>
      <c r="AE81">
        <f>IF($J81="Einschraub Auslass 8 mm 90°",(4.52968504201887+929.452518773881*P$19)/(1 + 16.7117091450414*P$19 + 82.2554423109011*P$19^2),IF($J81="Einschraub Auslass 10 mm 90°",(-3.20672717836386+7540.5630264938*P$19)/(1 + 126.514314854795*P$19 + -113.72718942959*P$19^2),IF($J81="Einschraub Auslass 13 mm 90°",135.984681342664 - 145.535559326006*EXP(-31.4269790056058*P$19^0.811196726205011))))</f>
        <v>42.35672844617924</v>
      </c>
      <c r="AF81">
        <f>IF($J81="Einschraub Auslass 8 mm 90°",(4.52968504201887+929.452518773881*Q$19)/(1 + 16.7117091450414*Q$19 + 82.2554423109011*Q$19^2),IF($J81="Einschraub Auslass 10 mm 90°",(-3.20672717836386+7540.5630264938*Q$19)/(1 + 126.514314854795*Q$19 + -113.72718942959*Q$19^2),IF($J81="Einschraub Auslass 13 mm 90°",135.984681342664 - 145.535559326006*EXP(-31.4269790056058*Q$19^0.811196726205011))))</f>
        <v>45.78000000000003</v>
      </c>
      <c r="AG81">
        <f>IF($J81="Einschraub Auslass 8 mm 90°",(4.52968504201887+929.452518773881*R$19)/(1 + 16.7117091450414*R$19 + 82.2554423109011*R$19^2),IF($J81="Einschraub Auslass 10 mm 90°",(-3.20672717836386+7540.5630264938*R$19)/(1 + 126.514314854795*R$19 + -113.72718942959*R$19^2),IF($J81="Einschraub Auslass 13 mm 90°",135.984681342664 - 145.535559326006*EXP(-31.4269790056058*R$19^0.811196726205011))))</f>
        <v>48.274781117893504</v>
      </c>
      <c r="AH81">
        <f>IF($J81="Einschraub Auslass 8 mm 90°",(4.52968504201887+929.452518773881*S$19)/(1 + 16.7117091450414*S$19 + 82.2554423109011*S$19^2),IF($J81="Einschraub Auslass 10 mm 90°",(-3.20672717836386+7540.5630264938*S$19)/(1 + 126.514314854795*S$19 + -113.72718942959*S$19^2),IF($J81="Einschraub Auslass 13 mm 90°",135.984681342664 - 145.535559326006*EXP(-31.4269790056058*S$19^0.811196726205011))))</f>
        <v>50.207071774604316</v>
      </c>
      <c r="AI81">
        <f>IF($J81="Einschraub Auslass 8 mm 90°",(4.52968504201887+929.452518773881*T$19)/(1 + 16.7117091450414*T$19 + 82.2554423109011*T$19^2),IF($J81="Einschraub Auslass 10 mm 90°",(-3.20672717836386+7540.5630264938*T$19)/(1 + 126.514314854795*T$19 + -113.72718942959*T$19^2),IF($J81="Einschraub Auslass 13 mm 90°",135.984681342664 - 145.535559326006*EXP(-31.4269790056058*T$19^0.811196726205011))))</f>
        <v>51.773485668881797</v>
      </c>
      <c r="AJ81">
        <f>IF($J81="Einschraub Auslass 8 mm 90°",(4.52968504201887+929.452518773881*U$19)/(1 + 16.7117091450414*U$19 + 82.2554423109011*U$19^2),IF($J81="Einschraub Auslass 10 mm 90°",(-3.20672717836386+7540.5630264938*U$19)/(1 + 126.514314854795*U$19 + -113.72718942959*U$19^2),IF($J81="Einschraub Auslass 13 mm 90°",135.984681342664 - 145.535559326006*EXP(-31.4269790056058*U$19^0.811196726205011))))</f>
        <v>53.089093444385036</v>
      </c>
      <c r="AK81">
        <f>IF($J81="Einschraub Auslass 8 mm 90°",(4.52968504201887+929.452518773881*V$19)/(1 + 16.7117091450414*V$19 + 82.2554423109011*V$19^2),IF($J81="Einschraub Auslass 10 mm 90°",(-3.20672717836386+7540.5630264938*V$19)/(1 + 126.514314854795*V$19 + -113.72718942959*V$19^2),IF($J81="Einschraub Auslass 13 mm 90°",135.984681342664 - 145.535559326006*EXP(-31.4269790056058*V$19^0.811196726205011))))</f>
        <v>54.225737160447281</v>
      </c>
      <c r="AL81">
        <f>IF($J81="Einschraub Auslass 8 mm 90°",(4.52968504201887+929.452518773881*W$19)/(1 + 16.7117091450414*W$19 + 82.2554423109011*W$19^2),IF($J81="Einschraub Auslass 10 mm 90°",(-3.20672717836386+7540.5630264938*W$19)/(1 + 126.514314854795*W$19 + -113.72718942959*W$19^2),IF($J81="Einschraub Auslass 13 mm 90°",135.984681342664 - 145.535559326006*EXP(-31.4269790056058*W$19^0.811196726205011))))</f>
        <v>55.2305975637789</v>
      </c>
      <c r="AM81">
        <f>IF($J81="Einschraub Auslass 8 mm 90°",(4.52968504201887+929.452518773881*X$19)/(1 + 16.7117091450414*X$19 + 82.2554423109011*X$19^2),IF($J81="Einschraub Auslass 10 mm 90°",(-3.20672717836386+7540.5630264938*X$19)/(1 + 126.514314854795*X$19 + -113.72718942959*X$19^2),IF($J81="Einschraub Auslass 13 mm 90°",135.984681342664 - 145.535559326006*EXP(-31.4269790056058*X$19^0.811196726205011))))</f>
        <v>56.13594883247184</v>
      </c>
      <c r="AN81">
        <f>IF($J81="Einschraub Auslass 8 mm 90°",(4.52968504201887+929.452518773881*Y$19)/(1 + 16.7117091450414*Y$19 + 82.2554423109011*Y$19^2),IF($J81="Einschraub Auslass 10 mm 90°",(-3.20672717836386+7540.5630264938*Y$19)/(1 + 126.514314854795*Y$19 + -113.72718942959*Y$19^2),IF($J81="Einschraub Auslass 13 mm 90°",135.984681342664 - 145.535559326006*EXP(-31.4269790056058*Y$19^0.811196726205011))))</f>
        <v>56.964622861393245</v>
      </c>
      <c r="AQ81">
        <v>58</v>
      </c>
      <c r="AR81" s="14">
        <v>4.6579997683307237</v>
      </c>
      <c r="AS81" s="13">
        <f t="shared" si="16"/>
        <v>45598.777921308982</v>
      </c>
      <c r="AT81" s="9">
        <v>3.6142741676937398</v>
      </c>
      <c r="AU81" s="13">
        <f t="shared" si="17"/>
        <v>35381.38542639988</v>
      </c>
    </row>
    <row r="82" spans="1:47" x14ac:dyDescent="0.35">
      <c r="A82">
        <f t="shared" si="12"/>
        <v>59</v>
      </c>
      <c r="B82" s="13">
        <f t="shared" si="13"/>
        <v>45583.093846255513</v>
      </c>
      <c r="F82">
        <f t="shared" si="14"/>
        <v>59</v>
      </c>
      <c r="G82" s="13">
        <f t="shared" si="15"/>
        <v>35362.527320890338</v>
      </c>
      <c r="I82" s="1">
        <v>12</v>
      </c>
      <c r="J82" t="s">
        <v>33</v>
      </c>
      <c r="K82">
        <f t="shared" si="23"/>
        <v>10</v>
      </c>
      <c r="L82" s="4" t="s">
        <v>12</v>
      </c>
      <c r="M82" s="1">
        <v>0</v>
      </c>
      <c r="N82" s="10">
        <f>IF(N$19*1000^2/($M$16*($K82/2000)^2*PI())*($K82/1000)/$O$16&lt;2320,(64*52.5*1000*$M$16*(N$19/($M$16*($K82/2000)^2*PI()))^2)/((N$19*1000^2/($M$16*($K82/2000)^2*PI())*($K82/1000)/$O$16)*1000*$K82*2)*AC82,(0.3164*52.5*1000*$M$16*(N$19/($M$16*($K82/2000)^2*PI()))^2)/(((N$19*1000^2/($M$16*($K82/2000)^2*PI())*($K82/1000)/$O$16))^0.25*1000*$K82*2)*AC82)</f>
        <v>35.306913089701261</v>
      </c>
      <c r="O82" s="10">
        <f>IF(O$19*1000^2/($M$16*($K82/2000)^2*PI())*($K82/1000)/$O$16&lt;2320,(64*52.5*1000*$M$16*(O$19/($M$16*($K82/2000)^2*PI()))^2)/((O$19*1000^2/($M$16*($K82/2000)^2*PI())*($K82/1000)/$O$16)*1000*$K82*2)*AD82,(0.3164*52.5*1000*$M$16*(O$19/($M$16*($K82/2000)^2*PI()))^2)/(((O$19*1000^2/($M$16*($K82/2000)^2*PI())*($K82/1000)/$O$16))^0.25*1000*$K82*2)*AD82)</f>
        <v>140.14221718374867</v>
      </c>
      <c r="P82" s="10">
        <f>IF(P$19*1000^2/($M$16*($K82/2000)^2*PI())*($K82/1000)/$O$16&lt;2320,(64*52.5*1000*$M$16*(P$19/($M$16*($K82/2000)^2*PI()))^2)/((P$19*1000^2/($M$16*($K82/2000)^2*PI())*($K82/1000)/$O$16)*1000*$K82*2)*AE82,(0.3164*52.5*1000*$M$16*(P$19/($M$16*($K82/2000)^2*PI()))^2)/(((P$19*1000^2/($M$16*($K82/2000)^2*PI())*($K82/1000)/$O$16))^0.25*1000*$K82*2)*AE82)</f>
        <v>297.57411205038517</v>
      </c>
      <c r="Q82" s="10">
        <f>IF(Q$19*1000^2/($M$16*($K82/2000)^2*PI())*($K82/1000)/$O$16&lt;2320,(64*52.5*1000*$M$16*(Q$19/($M$16*($K82/2000)^2*PI()))^2)/((Q$19*1000^2/($M$16*($K82/2000)^2*PI())*($K82/1000)/$O$16)*1000*$K82*2)*AF82,(0.3164*52.5*1000*$M$16*(Q$19/($M$16*($K82/2000)^2*PI()))^2)/(((Q$19*1000^2/($M$16*($K82/2000)^2*PI())*($K82/1000)/$O$16))^0.25*1000*$K82*2)*AF82)</f>
        <v>509.03704905951304</v>
      </c>
      <c r="R82" s="10">
        <f>IF(R$19*1000^2/($M$16*($K82/2000)^2*PI())*($K82/1000)/$O$16&lt;2320,(64*52.5*1000*$M$16*(R$19/($M$16*($K82/2000)^2*PI()))^2)/((R$19*1000^2/($M$16*($K82/2000)^2*PI())*($K82/1000)/$O$16)*1000*$K82*2)*AG82,(0.3164*52.5*1000*$M$16*(R$19/($M$16*($K82/2000)^2*PI()))^2)/(((R$19*1000^2/($M$16*($K82/2000)^2*PI())*($K82/1000)/$O$16))^0.25*1000*$K82*2)*AG82)</f>
        <v>771.97461697034032</v>
      </c>
      <c r="S82" s="10">
        <f>IF(S$19*1000^2/($M$16*($K82/2000)^2*PI())*($K82/1000)/$O$16&lt;2320,(64*52.5*1000*$M$16*(S$19/($M$16*($K82/2000)^2*PI()))^2)/((S$19*1000^2/($M$16*($K82/2000)^2*PI())*($K82/1000)/$O$16)*1000*$K82*2)*AH82,(0.3164*52.5*1000*$M$16*(S$19/($M$16*($K82/2000)^2*PI()))^2)/(((S$19*1000^2/($M$16*($K82/2000)^2*PI())*($K82/1000)/$O$16))^0.25*1000*$K82*2)*AH82)</f>
        <v>1084.5671150688522</v>
      </c>
      <c r="T82" s="10">
        <f>IF(T$19*1000^2/($M$16*($K82/2000)^2*PI())*($K82/1000)/$O$16&lt;2320,(64*52.5*1000*$M$16*(T$19/($M$16*($K82/2000)^2*PI()))^2)/((T$19*1000^2/($M$16*($K82/2000)^2*PI())*($K82/1000)/$O$16)*1000*$K82*2)*AI82,(0.3164*52.5*1000*$M$16*(T$19/($M$16*($K82/2000)^2*PI()))^2)/(((T$19*1000^2/($M$16*($K82/2000)^2*PI())*($K82/1000)/$O$16))^0.25*1000*$K82*2)*AI82)</f>
        <v>1445.5057852246116</v>
      </c>
      <c r="U82" s="10">
        <f>IF(U$19*1000^2/($M$16*($K82/2000)^2*PI())*($K82/1000)/$O$16&lt;2320,(64*52.5*1000*$M$16*(U$19/($M$16*($K82/2000)^2*PI()))^2)/((U$19*1000^2/($M$16*($K82/2000)^2*PI())*($K82/1000)/$O$16)*1000*$K82*2)*AJ82,(0.3164*52.5*1000*$M$16*(U$19/($M$16*($K82/2000)^2*PI()))^2)/(((U$19*1000^2/($M$16*($K82/2000)^2*PI())*($K82/1000)/$O$16))^0.25*1000*$K82*2)*AJ82)</f>
        <v>1853.8434729666224</v>
      </c>
      <c r="V82" s="10">
        <f>IF(V$19*1000^2/($M$16*($K82/2000)^2*PI())*($K82/1000)/$O$16&lt;2320,(64*52.5*1000*$M$16*(V$19/($M$16*($K82/2000)^2*PI()))^2)/((V$19*1000^2/($M$16*($K82/2000)^2*PI())*($K82/1000)/$O$16)*1000*$K82*2)*AK82,(0.3164*52.5*1000*$M$16*(V$19/($M$16*($K82/2000)^2*PI()))^2)/(((V$19*1000^2/($M$16*($K82/2000)^2*PI())*($K82/1000)/$O$16))^0.25*1000*$K82*2)*AK82)</f>
        <v>2308.8980513668066</v>
      </c>
      <c r="W82" s="10">
        <f>IF(W$19*1000^2/($M$16*($K82/2000)^2*PI())*($K82/1000)/$O$16&lt;2320,(64*52.5*1000*$M$16*(W$19/($M$16*($K82/2000)^2*PI()))^2)/((W$19*1000^2/($M$16*($K82/2000)^2*PI())*($K82/1000)/$O$16)*1000*$K82*2)*AL82,(0.3164*52.5*1000*$M$16*(W$19/($M$16*($K82/2000)^2*PI()))^2)/(((W$19*1000^2/($M$16*($K82/2000)^2*PI())*($K82/1000)/$O$16))^0.25*1000*$K82*2)*AL82)</f>
        <v>2810.1884468351495</v>
      </c>
      <c r="X82" s="10">
        <f>IF(X$19*1000^2/($M$16*($K82/2000)^2*PI())*($K82/1000)/$O$16&lt;2320,(64*52.5*1000*$M$16*(X$19/($M$16*($K82/2000)^2*PI()))^2)/((X$19*1000^2/($M$16*($K82/2000)^2*PI())*($K82/1000)/$O$16)*1000*$K82*2)*AM82,(0.3164*52.5*1000*$M$16*(X$19/($M$16*($K82/2000)^2*PI()))^2)/(((X$19*1000^2/($M$16*($K82/2000)^2*PI())*($K82/1000)/$O$16))^0.25*1000*$K82*2)*AM82)</f>
        <v>3357.3909095260683</v>
      </c>
      <c r="Y82" s="10">
        <f>IF(Y$19*1000^2/($M$16*($K82/2000)^2*PI())*($K82/1000)/$O$16&lt;2320,(64*52.5*1000*$M$16*(Y$19/($M$16*($K82/2000)^2*PI()))^2)/((Y$19*1000^2/($M$16*($K82/2000)^2*PI())*($K82/1000)/$O$16)*1000*$K82*2)*AN82,(0.3164*52.5*1000*$M$16*(Y$19/($M$16*($K82/2000)^2*PI()))^2)/(((Y$19*1000^2/($M$16*($K82/2000)^2*PI())*($K82/1000)/$O$16))^0.25*1000*$K82*2)*AN82)</f>
        <v>3950.3082091307401</v>
      </c>
      <c r="AB82">
        <f>IF($J82="Einschraub Auslass 8 mm 90°",(4.52968504201887+929.452518773881*M$19)/(1 + 16.7117091450414*M$19 + 82.2554423109011*M$19^2),IF($J82="Einschraub Auslass 10 mm 90°",(-3.20672717836386+7540.5630264938*M$19)/(1 + 126.514314854795*M$19 + -113.72718942959*M$19^2),IF($J82="Einschraub Auslass 13 mm 90°",135.984681342664 - 145.535559326006*EXP(-31.4269790056058*M$19^0.811196726205011))))</f>
        <v>-3.20672717836386</v>
      </c>
      <c r="AC82">
        <f>IF($J82="Einschraub Auslass 8 mm 90°",(4.52968504201887+929.452518773881*N$19)/(1 + 16.7117091450414*N$19 + 82.2554423109011*N$19^2),IF($J82="Einschraub Auslass 10 mm 90°",(-3.20672717836386+7540.5630264938*N$19)/(1 + 126.514314854795*N$19 + -113.72718942959*N$19^2),IF($J82="Einschraub Auslass 13 mm 90°",135.984681342664 - 145.535559326006*EXP(-31.4269790056058*N$19^0.811196726205011))))</f>
        <v>28.489999999999995</v>
      </c>
      <c r="AD82">
        <f>IF($J82="Einschraub Auslass 8 mm 90°",(4.52968504201887+929.452518773881*O$19)/(1 + 16.7117091450414*O$19 + 82.2554423109011*O$19^2),IF($J82="Einschraub Auslass 10 mm 90°",(-3.20672717836386+7540.5630264938*O$19)/(1 + 126.514314854795*O$19 + -113.72718942959*O$19^2),IF($J82="Einschraub Auslass 13 mm 90°",135.984681342664 - 145.535559326006*EXP(-31.4269790056058*O$19^0.811196726205011))))</f>
        <v>37.236999284888917</v>
      </c>
      <c r="AE82">
        <f>IF($J82="Einschraub Auslass 8 mm 90°",(4.52968504201887+929.452518773881*P$19)/(1 + 16.7117091450414*P$19 + 82.2554423109011*P$19^2),IF($J82="Einschraub Auslass 10 mm 90°",(-3.20672717836386+7540.5630264938*P$19)/(1 + 126.514314854795*P$19 + -113.72718942959*P$19^2),IF($J82="Einschraub Auslass 13 mm 90°",135.984681342664 - 145.535559326006*EXP(-31.4269790056058*P$19^0.811196726205011))))</f>
        <v>42.35672844617924</v>
      </c>
      <c r="AF82">
        <f>IF($J82="Einschraub Auslass 8 mm 90°",(4.52968504201887+929.452518773881*Q$19)/(1 + 16.7117091450414*Q$19 + 82.2554423109011*Q$19^2),IF($J82="Einschraub Auslass 10 mm 90°",(-3.20672717836386+7540.5630264938*Q$19)/(1 + 126.514314854795*Q$19 + -113.72718942959*Q$19^2),IF($J82="Einschraub Auslass 13 mm 90°",135.984681342664 - 145.535559326006*EXP(-31.4269790056058*Q$19^0.811196726205011))))</f>
        <v>45.78000000000003</v>
      </c>
      <c r="AG82">
        <f>IF($J82="Einschraub Auslass 8 mm 90°",(4.52968504201887+929.452518773881*R$19)/(1 + 16.7117091450414*R$19 + 82.2554423109011*R$19^2),IF($J82="Einschraub Auslass 10 mm 90°",(-3.20672717836386+7540.5630264938*R$19)/(1 + 126.514314854795*R$19 + -113.72718942959*R$19^2),IF($J82="Einschraub Auslass 13 mm 90°",135.984681342664 - 145.535559326006*EXP(-31.4269790056058*R$19^0.811196726205011))))</f>
        <v>48.274781117893504</v>
      </c>
      <c r="AH82">
        <f>IF($J82="Einschraub Auslass 8 mm 90°",(4.52968504201887+929.452518773881*S$19)/(1 + 16.7117091450414*S$19 + 82.2554423109011*S$19^2),IF($J82="Einschraub Auslass 10 mm 90°",(-3.20672717836386+7540.5630264938*S$19)/(1 + 126.514314854795*S$19 + -113.72718942959*S$19^2),IF($J82="Einschraub Auslass 13 mm 90°",135.984681342664 - 145.535559326006*EXP(-31.4269790056058*S$19^0.811196726205011))))</f>
        <v>50.207071774604316</v>
      </c>
      <c r="AI82">
        <f>IF($J82="Einschraub Auslass 8 mm 90°",(4.52968504201887+929.452518773881*T$19)/(1 + 16.7117091450414*T$19 + 82.2554423109011*T$19^2),IF($J82="Einschraub Auslass 10 mm 90°",(-3.20672717836386+7540.5630264938*T$19)/(1 + 126.514314854795*T$19 + -113.72718942959*T$19^2),IF($J82="Einschraub Auslass 13 mm 90°",135.984681342664 - 145.535559326006*EXP(-31.4269790056058*T$19^0.811196726205011))))</f>
        <v>51.773485668881797</v>
      </c>
      <c r="AJ82">
        <f>IF($J82="Einschraub Auslass 8 mm 90°",(4.52968504201887+929.452518773881*U$19)/(1 + 16.7117091450414*U$19 + 82.2554423109011*U$19^2),IF($J82="Einschraub Auslass 10 mm 90°",(-3.20672717836386+7540.5630264938*U$19)/(1 + 126.514314854795*U$19 + -113.72718942959*U$19^2),IF($J82="Einschraub Auslass 13 mm 90°",135.984681342664 - 145.535559326006*EXP(-31.4269790056058*U$19^0.811196726205011))))</f>
        <v>53.089093444385036</v>
      </c>
      <c r="AK82">
        <f>IF($J82="Einschraub Auslass 8 mm 90°",(4.52968504201887+929.452518773881*V$19)/(1 + 16.7117091450414*V$19 + 82.2554423109011*V$19^2),IF($J82="Einschraub Auslass 10 mm 90°",(-3.20672717836386+7540.5630264938*V$19)/(1 + 126.514314854795*V$19 + -113.72718942959*V$19^2),IF($J82="Einschraub Auslass 13 mm 90°",135.984681342664 - 145.535559326006*EXP(-31.4269790056058*V$19^0.811196726205011))))</f>
        <v>54.225737160447281</v>
      </c>
      <c r="AL82">
        <f>IF($J82="Einschraub Auslass 8 mm 90°",(4.52968504201887+929.452518773881*W$19)/(1 + 16.7117091450414*W$19 + 82.2554423109011*W$19^2),IF($J82="Einschraub Auslass 10 mm 90°",(-3.20672717836386+7540.5630264938*W$19)/(1 + 126.514314854795*W$19 + -113.72718942959*W$19^2),IF($J82="Einschraub Auslass 13 mm 90°",135.984681342664 - 145.535559326006*EXP(-31.4269790056058*W$19^0.811196726205011))))</f>
        <v>55.2305975637789</v>
      </c>
      <c r="AM82">
        <f>IF($J82="Einschraub Auslass 8 mm 90°",(4.52968504201887+929.452518773881*X$19)/(1 + 16.7117091450414*X$19 + 82.2554423109011*X$19^2),IF($J82="Einschraub Auslass 10 mm 90°",(-3.20672717836386+7540.5630264938*X$19)/(1 + 126.514314854795*X$19 + -113.72718942959*X$19^2),IF($J82="Einschraub Auslass 13 mm 90°",135.984681342664 - 145.535559326006*EXP(-31.4269790056058*X$19^0.811196726205011))))</f>
        <v>56.13594883247184</v>
      </c>
      <c r="AN82">
        <f>IF($J82="Einschraub Auslass 8 mm 90°",(4.52968504201887+929.452518773881*Y$19)/(1 + 16.7117091450414*Y$19 + 82.2554423109011*Y$19^2),IF($J82="Einschraub Auslass 10 mm 90°",(-3.20672717836386+7540.5630264938*Y$19)/(1 + 126.514314854795*Y$19 + -113.72718942959*Y$19^2),IF($J82="Einschraub Auslass 13 mm 90°",135.984681342664 - 145.535559326006*EXP(-31.4269790056058*Y$19^0.811196726205011))))</f>
        <v>56.964622861393245</v>
      </c>
      <c r="AQ82">
        <v>59</v>
      </c>
      <c r="AR82" s="14">
        <v>4.656397610963884</v>
      </c>
      <c r="AS82" s="13">
        <f t="shared" si="16"/>
        <v>45583.093846255513</v>
      </c>
      <c r="AT82" s="9">
        <v>3.6123477772267365</v>
      </c>
      <c r="AU82" s="13">
        <f t="shared" si="17"/>
        <v>35362.527320890338</v>
      </c>
    </row>
    <row r="83" spans="1:47" x14ac:dyDescent="0.35">
      <c r="A83">
        <f t="shared" si="12"/>
        <v>60</v>
      </c>
      <c r="B83" s="13">
        <f t="shared" si="13"/>
        <v>45567.090213360425</v>
      </c>
      <c r="F83">
        <f t="shared" si="14"/>
        <v>60</v>
      </c>
      <c r="G83" s="13">
        <f t="shared" si="15"/>
        <v>35343.573078587557</v>
      </c>
      <c r="I83" s="1">
        <v>13</v>
      </c>
      <c r="J83" t="s">
        <v>34</v>
      </c>
      <c r="K83">
        <f>IF(J83="Einschraub Einlass 8 mm 45°",8,IF(J83="Einschraub Einlass 10 mm 45°",10,IF(J83="Einschraub Einlass 13 mm 45°",13)))</f>
        <v>10</v>
      </c>
      <c r="L83" s="4" t="s">
        <v>12</v>
      </c>
      <c r="M83" s="1">
        <v>0</v>
      </c>
      <c r="N83" s="10">
        <f>IF(N$19*1000^2/($M$16*($K83/2000)^2*PI())*($K83/1000)/$O$16&lt;2320,(64*52.5*1000*$M$16*(N$19/($M$16*($K83/2000)^2*PI()))^2)/((N$19*1000^2/($M$16*($K83/2000)^2*PI())*($K83/1000)/$O$16)*1000*$K83*2)*AC83,(0.3164*52.5*1000*$M$16*(N$19/($M$16*($K83/2000)^2*PI()))^2)/(((N$19*1000^2/($M$16*($K83/2000)^2*PI())*($K83/1000)/$O$16))^0.25*1000*$K83*2)*AC83)</f>
        <v>14.203705425906548</v>
      </c>
      <c r="O83" s="10">
        <f>IF(O$19*1000^2/($M$16*($K83/2000)^2*PI())*($K83/1000)/$O$16&lt;2320,(64*52.5*1000*$M$16*(O$19/($M$16*($K83/2000)^2*PI()))^2)/((O$19*1000^2/($M$16*($K83/2000)^2*PI())*($K83/1000)/$O$16)*1000*$K83*2)*AD83,(0.3164*52.5*1000*$M$16*(O$19/($M$16*($K83/2000)^2*PI()))^2)/(((O$19*1000^2/($M$16*($K83/2000)^2*PI())*($K83/1000)/$O$16))^0.25*1000*$K83*2)*AD83)</f>
        <v>53.248210933140015</v>
      </c>
      <c r="P83" s="10">
        <f>IF(P$19*1000^2/($M$16*($K83/2000)^2*PI())*($K83/1000)/$O$16&lt;2320,(64*52.5*1000*$M$16*(P$19/($M$16*($K83/2000)^2*PI()))^2)/((P$19*1000^2/($M$16*($K83/2000)^2*PI())*($K83/1000)/$O$16)*1000*$K83*2)*AE83,(0.3164*52.5*1000*$M$16*(P$19/($M$16*($K83/2000)^2*PI()))^2)/(((P$19*1000^2/($M$16*($K83/2000)^2*PI())*($K83/1000)/$O$16))^0.25*1000*$K83*2)*AE83)</f>
        <v>111.34894935045763</v>
      </c>
      <c r="Q83" s="10">
        <f>IF(Q$19*1000^2/($M$16*($K83/2000)^2*PI())*($K83/1000)/$O$16&lt;2320,(64*52.5*1000*$M$16*(Q$19/($M$16*($K83/2000)^2*PI()))^2)/((Q$19*1000^2/($M$16*($K83/2000)^2*PI())*($K83/1000)/$O$16)*1000*$K83*2)*AF83,(0.3164*52.5*1000*$M$16*(Q$19/($M$16*($K83/2000)^2*PI()))^2)/(((Q$19*1000^2/($M$16*($K83/2000)^2*PI())*($K83/1000)/$O$16))^0.25*1000*$K83*2)*AF83)</f>
        <v>189.56606373994947</v>
      </c>
      <c r="R83" s="10">
        <f>IF(R$19*1000^2/($M$16*($K83/2000)^2*PI())*($K83/1000)/$O$16&lt;2320,(64*52.5*1000*$M$16*(R$19/($M$16*($K83/2000)^2*PI()))^2)/((R$19*1000^2/($M$16*($K83/2000)^2*PI())*($K83/1000)/$O$16)*1000*$K83*2)*AG83,(0.3164*52.5*1000*$M$16*(R$19/($M$16*($K83/2000)^2*PI()))^2)/(((R$19*1000^2/($M$16*($K83/2000)^2*PI())*($K83/1000)/$O$16))^0.25*1000*$K83*2)*AG83)</f>
        <v>287.17489019668767</v>
      </c>
      <c r="S83" s="10">
        <f>IF(S$19*1000^2/($M$16*($K83/2000)^2*PI())*($K83/1000)/$O$16&lt;2320,(64*52.5*1000*$M$16*(S$19/($M$16*($K83/2000)^2*PI()))^2)/((S$19*1000^2/($M$16*($K83/2000)^2*PI())*($K83/1000)/$O$16)*1000*$K83*2)*AH83,(0.3164*52.5*1000*$M$16*(S$19/($M$16*($K83/2000)^2*PI()))^2)/(((S$19*1000^2/($M$16*($K83/2000)^2*PI())*($K83/1000)/$O$16))^0.25*1000*$K83*2)*AH83)</f>
        <v>403.66041611456438</v>
      </c>
      <c r="T83" s="10">
        <f>IF(T$19*1000^2/($M$16*($K83/2000)^2*PI())*($K83/1000)/$O$16&lt;2320,(64*52.5*1000*$M$16*(T$19/($M$16*($K83/2000)^2*PI()))^2)/((T$19*1000^2/($M$16*($K83/2000)^2*PI())*($K83/1000)/$O$16)*1000*$K83*2)*AI83,(0.3164*52.5*1000*$M$16*(T$19/($M$16*($K83/2000)^2*PI()))^2)/(((T$19*1000^2/($M$16*($K83/2000)^2*PI())*($K83/1000)/$O$16))^0.25*1000*$K83*2)*AI83)</f>
        <v>538.66919369631501</v>
      </c>
      <c r="U83" s="10">
        <f>IF(U$19*1000^2/($M$16*($K83/2000)^2*PI())*($K83/1000)/$O$16&lt;2320,(64*52.5*1000*$M$16*(U$19/($M$16*($K83/2000)^2*PI()))^2)/((U$19*1000^2/($M$16*($K83/2000)^2*PI())*($K83/1000)/$O$16)*1000*$K83*2)*AJ83,(0.3164*52.5*1000*$M$16*(U$19/($M$16*($K83/2000)^2*PI()))^2)/(((U$19*1000^2/($M$16*($K83/2000)^2*PI())*($K83/1000)/$O$16))^0.25*1000*$K83*2)*AJ83)</f>
        <v>691.96946105057054</v>
      </c>
      <c r="V83" s="10">
        <f>IF(V$19*1000^2/($M$16*($K83/2000)^2*PI())*($K83/1000)/$O$16&lt;2320,(64*52.5*1000*$M$16*(V$19/($M$16*($K83/2000)^2*PI()))^2)/((V$19*1000^2/($M$16*($K83/2000)^2*PI())*($K83/1000)/$O$16)*1000*$K83*2)*AK83,(0.3164*52.5*1000*$M$16*(V$19/($M$16*($K83/2000)^2*PI()))^2)/(((V$19*1000^2/($M$16*($K83/2000)^2*PI())*($K83/1000)/$O$16))^0.25*1000*$K83*2)*AK83)</f>
        <v>863.4226818053894</v>
      </c>
      <c r="W83" s="10">
        <f>IF(W$19*1000^2/($M$16*($K83/2000)^2*PI())*($K83/1000)/$O$16&lt;2320,(64*52.5*1000*$M$16*(W$19/($M$16*($K83/2000)^2*PI()))^2)/((W$19*1000^2/($M$16*($K83/2000)^2*PI())*($K83/1000)/$O$16)*1000*$K83*2)*AL83,(0.3164*52.5*1000*$M$16*(W$19/($M$16*($K83/2000)^2*PI()))^2)/(((W$19*1000^2/($M$16*($K83/2000)^2*PI())*($K83/1000)/$O$16))^0.25*1000*$K83*2)*AL83)</f>
        <v>1052.9636316268138</v>
      </c>
      <c r="X83" s="10">
        <f>IF(X$19*1000^2/($M$16*($K83/2000)^2*PI())*($K83/1000)/$O$16&lt;2320,(64*52.5*1000*$M$16*(X$19/($M$16*($K83/2000)^2*PI()))^2)/((X$19*1000^2/($M$16*($K83/2000)^2*PI())*($K83/1000)/$O$16)*1000*$K83*2)*AM83,(0.3164*52.5*1000*$M$16*(X$19/($M$16*($K83/2000)^2*PI()))^2)/(((X$19*1000^2/($M$16*($K83/2000)^2*PI())*($K83/1000)/$O$16))^0.25*1000*$K83*2)*AM83)</f>
        <v>1260.586335108768</v>
      </c>
      <c r="Y83" s="10">
        <f>IF(Y$19*1000^2/($M$16*($K83/2000)^2*PI())*($K83/1000)/$O$16&lt;2320,(64*52.5*1000*$M$16*(Y$19/($M$16*($K83/2000)^2*PI()))^2)/((Y$19*1000^2/($M$16*($K83/2000)^2*PI())*($K83/1000)/$O$16)*1000*$K83*2)*AN83,(0.3164*52.5*1000*$M$16*(Y$19/($M$16*($K83/2000)^2*PI()))^2)/(((Y$19*1000^2/($M$16*($K83/2000)^2*PI())*($K83/1000)/$O$16))^0.25*1000*$K83*2)*AN83)</f>
        <v>1486.3339703634813</v>
      </c>
      <c r="AB83">
        <f>IF($J83="Einschraub Einlass 8 mm 45°",((3.4778372890684+2042.77987300805*M$19)/(1 + 92.0325360155405*M$19 + -108.715774416597*M$19^2))/1.548,IF($J83="Einschraub Einlass 10 mm 45°",(3.4778372890684+2042.77987300805*M$19)/(1 + 92.0325360155405*M$19 + -108.715774416597*M$19^2),IF($J83="Einschraub Einlass 13 mm 45°",(1.98154884040722+8559.37423470466*M$19)/(1 + 111.16216889364*M$19 + -73.3088286294707*M$19^2)
)))</f>
        <v>3.4778372890684</v>
      </c>
      <c r="AC83">
        <f>IF($J83="Einschraub Einlass 8 mm 45°",((3.4778372890684+2042.77987300805*N$19)/(1 + 92.0325360155405*N$19 + -108.715774416597*N$19^2))/1.548,IF($J83="Einschraub Einlass 10 mm 45°",(3.4778372890684+2042.77987300805*N$19)/(1 + 92.0325360155405*N$19 + -108.715774416597*N$19^2),IF($J83="Einschraub Einlass 13 mm 45°",(1.98154884040722+8559.37423470466*N$19)/(1 + 111.16216889364*N$19 + -73.3088286294707*N$19^2)
)))</f>
        <v>11.461312592125607</v>
      </c>
      <c r="AD83">
        <f>IF($J83="Einschraub Einlass 8 mm 45°",((3.4778372890684+2042.77987300805*O$19)/(1 + 92.0325360155405*O$19 + -108.715774416597*O$19^2))/1.548,IF($J83="Einschraub Einlass 10 mm 45°",(3.4778372890684+2042.77987300805*O$19)/(1 + 92.0325360155405*O$19 + -108.715774416597*O$19^2),IF($J83="Einschraub Einlass 13 mm 45°",(1.98154884040722+8559.37423470466*O$19)/(1 + 111.16216889364*O$19 + -73.3088286294707*O$19^2)
)))</f>
        <v>14.148510222577533</v>
      </c>
      <c r="AE83">
        <f>IF($J83="Einschraub Einlass 8 mm 45°",((3.4778372890684+2042.77987300805*P$19)/(1 + 92.0325360155405*P$19 + -108.715774416597*P$19^2))/1.548,IF($J83="Einschraub Einlass 10 mm 45°",(3.4778372890684+2042.77987300805*P$19)/(1 + 92.0325360155405*P$19 + -108.715774416597*P$19^2),IF($J83="Einschraub Einlass 13 mm 45°",(1.98154884040722+8559.37423470466*P$19)/(1 + 111.16216889364*P$19 + -73.3088286294707*P$19^2)
)))</f>
        <v>15.84942042809868</v>
      </c>
      <c r="AF83">
        <f>IF($J83="Einschraub Einlass 8 mm 45°",((3.4778372890684+2042.77987300805*Q$19)/(1 + 92.0325360155405*Q$19 + -108.715774416597*Q$19^2))/1.548,IF($J83="Einschraub Einlass 10 mm 45°",(3.4778372890684+2042.77987300805*Q$19)/(1 + 92.0325360155405*Q$19 + -108.715774416597*Q$19^2),IF($J83="Einschraub Einlass 13 mm 45°",(1.98154884040722+8559.37423470466*Q$19)/(1 + 111.16216889364*Q$19 + -73.3088286294707*Q$19^2)
)))</f>
        <v>17.048531956659765</v>
      </c>
      <c r="AG83">
        <f>IF($J83="Einschraub Einlass 8 mm 45°",((3.4778372890684+2042.77987300805*R$19)/(1 + 92.0325360155405*R$19 + -108.715774416597*R$19^2))/1.548,IF($J83="Einschraub Einlass 10 mm 45°",(3.4778372890684+2042.77987300805*R$19)/(1 + 92.0325360155405*R$19 + -108.715774416597*R$19^2),IF($J83="Einschraub Einlass 13 mm 45°",(1.98154884040722+8559.37423470466*R$19)/(1 + 111.16216889364*R$19 + -73.3088286294707*R$19^2)
)))</f>
        <v>17.95823937995209</v>
      </c>
      <c r="AH83">
        <f>IF($J83="Einschraub Einlass 8 mm 45°",((3.4778372890684+2042.77987300805*S$19)/(1 + 92.0325360155405*S$19 + -108.715774416597*S$19^2))/1.548,IF($J83="Einschraub Einlass 10 mm 45°",(3.4778372890684+2042.77987300805*S$19)/(1 + 92.0325360155405*S$19 + -108.715774416597*S$19^2),IF($J83="Einschraub Einlass 13 mm 45°",(1.98154884040722+8559.37423470466*S$19)/(1 + 111.16216889364*S$19 + -73.3088286294707*S$19^2)
)))</f>
        <v>18.686356245592034</v>
      </c>
      <c r="AI83">
        <f>IF($J83="Einschraub Einlass 8 mm 45°",((3.4778372890684+2042.77987300805*T$19)/(1 + 92.0325360155405*T$19 + -108.715774416597*T$19^2))/1.548,IF($J83="Einschraub Einlass 10 mm 45°",(3.4778372890684+2042.77987300805*T$19)/(1 + 92.0325360155405*T$19 + -108.715774416597*T$19^2),IF($J83="Einschraub Einlass 13 mm 45°",(1.98154884040722+8559.37423470466*T$19)/(1 + 111.16216889364*T$19 + -73.3088286294707*T$19^2)
)))</f>
        <v>19.293441828578189</v>
      </c>
      <c r="AJ83">
        <f>IF($J83="Einschraub Einlass 8 mm 45°",((3.4778372890684+2042.77987300805*U$19)/(1 + 92.0325360155405*U$19 + -108.715774416597*U$19^2))/1.548,IF($J83="Einschraub Einlass 10 mm 45°",(3.4778372890684+2042.77987300805*U$19)/(1 + 92.0325360155405*U$19 + -108.715774416597*U$19^2),IF($J83="Einschraub Einlass 13 mm 45°",(1.98154884040722+8559.37423470466*U$19)/(1 + 111.16216889364*U$19 + -73.3088286294707*U$19^2)
)))</f>
        <v>19.816145167632449</v>
      </c>
      <c r="AK83">
        <f>IF($J83="Einschraub Einlass 8 mm 45°",((3.4778372890684+2042.77987300805*V$19)/(1 + 92.0325360155405*V$19 + -108.715774416597*V$19^2))/1.548,IF($J83="Einschraub Einlass 10 mm 45°",(3.4778372890684+2042.77987300805*V$19)/(1 + 92.0325360155405*V$19 + -108.715774416597*V$19^2),IF($J83="Einschraub Einlass 13 mm 45°",(1.98154884040722+8559.37423470466*V$19)/(1 + 111.16216889364*V$19 + -73.3088286294707*V$19^2)
)))</f>
        <v>20.277955267116067</v>
      </c>
      <c r="AL83">
        <f>IF($J83="Einschraub Einlass 8 mm 45°",((3.4778372890684+2042.77987300805*W$19)/(1 + 92.0325360155405*W$19 + -108.715774416597*W$19^2))/1.548,IF($J83="Einschraub Einlass 10 mm 45°",(3.4778372890684+2042.77987300805*W$19)/(1 + 92.0325360155405*W$19 + -108.715774416597*W$19^2),IF($J83="Einschraub Einlass 13 mm 45°",(1.98154884040722+8559.37423470466*W$19)/(1 + 111.16216889364*W$19 + -73.3088286294707*W$19^2)
)))</f>
        <v>20.694630160184133</v>
      </c>
      <c r="AM83">
        <f>IF($J83="Einschraub Einlass 8 mm 45°",((3.4778372890684+2042.77987300805*X$19)/(1 + 92.0325360155405*X$19 + -108.715774416597*X$19^2))/1.548,IF($J83="Einschraub Einlass 10 mm 45°",(3.4778372890684+2042.77987300805*X$19)/(1 + 92.0325360155405*X$19 + -108.715774416597*X$19^2),IF($J83="Einschraub Einlass 13 mm 45°",(1.98154884040722+8559.37423470466*X$19)/(1 + 111.16216889364*X$19 + -73.3088286294707*X$19^2)
)))</f>
        <v>21.077143506225831</v>
      </c>
      <c r="AN83">
        <f>IF($J83="Einschraub Einlass 8 mm 45°",((3.4778372890684+2042.77987300805*Y$19)/(1 + 92.0325360155405*Y$19 + -108.715774416597*Y$19^2))/1.548,IF($J83="Einschraub Einlass 10 mm 45°",(3.4778372890684+2042.77987300805*Y$19)/(1 + 92.0325360155405*Y$19 + -108.715774416597*Y$19^2),IF($J83="Einschraub Einlass 13 mm 45°",(1.98154884040722+8559.37423470466*Y$19)/(1 + 111.16216889364*Y$19 + -73.3088286294707*Y$19^2)
)))</f>
        <v>21.43337926699753</v>
      </c>
      <c r="AQ83">
        <v>60</v>
      </c>
      <c r="AR83" s="14">
        <v>4.6547628101706167</v>
      </c>
      <c r="AS83" s="13">
        <f t="shared" si="16"/>
        <v>45567.090213360425</v>
      </c>
      <c r="AT83" s="9">
        <v>3.610411566207933</v>
      </c>
      <c r="AU83" s="13">
        <f t="shared" si="17"/>
        <v>35343.573078587557</v>
      </c>
    </row>
    <row r="84" spans="1:47" x14ac:dyDescent="0.35">
      <c r="A84">
        <f t="shared" si="12"/>
        <v>61</v>
      </c>
      <c r="B84" s="13">
        <f t="shared" si="13"/>
        <v>45550.76600049276</v>
      </c>
      <c r="F84">
        <f t="shared" si="14"/>
        <v>61</v>
      </c>
      <c r="G84" s="13">
        <f t="shared" si="15"/>
        <v>35324.523824001393</v>
      </c>
      <c r="I84" s="1">
        <v>14</v>
      </c>
      <c r="J84" t="s">
        <v>34</v>
      </c>
      <c r="K84">
        <f t="shared" ref="K84:K85" si="24">IF(J84="Einschraub Einlass 8 mm 45°",8,IF(J84="Einschraub Einlass 10 mm 45°",10,IF(J84="Einschraub Einlass 13 mm 45°",13)))</f>
        <v>10</v>
      </c>
      <c r="L84" s="4" t="s">
        <v>12</v>
      </c>
      <c r="M84" s="1">
        <v>0</v>
      </c>
      <c r="N84" s="10">
        <f>IF(N$19*1000^2/($M$16*($K84/2000)^2*PI())*($K84/1000)/$O$16&lt;2320,(64*52.5*1000*$M$16*(N$19/($M$16*($K84/2000)^2*PI()))^2)/((N$19*1000^2/($M$16*($K84/2000)^2*PI())*($K84/1000)/$O$16)*1000*$K84*2)*AC84,(0.3164*52.5*1000*$M$16*(N$19/($M$16*($K84/2000)^2*PI()))^2)/(((N$19*1000^2/($M$16*($K84/2000)^2*PI())*($K84/1000)/$O$16))^0.25*1000*$K84*2)*AC84)</f>
        <v>14.203705425906548</v>
      </c>
      <c r="O84" s="10">
        <f>IF(O$19*1000^2/($M$16*($K84/2000)^2*PI())*($K84/1000)/$O$16&lt;2320,(64*52.5*1000*$M$16*(O$19/($M$16*($K84/2000)^2*PI()))^2)/((O$19*1000^2/($M$16*($K84/2000)^2*PI())*($K84/1000)/$O$16)*1000*$K84*2)*AD84,(0.3164*52.5*1000*$M$16*(O$19/($M$16*($K84/2000)^2*PI()))^2)/(((O$19*1000^2/($M$16*($K84/2000)^2*PI())*($K84/1000)/$O$16))^0.25*1000*$K84*2)*AD84)</f>
        <v>53.248210933140015</v>
      </c>
      <c r="P84" s="10">
        <f>IF(P$19*1000^2/($M$16*($K84/2000)^2*PI())*($K84/1000)/$O$16&lt;2320,(64*52.5*1000*$M$16*(P$19/($M$16*($K84/2000)^2*PI()))^2)/((P$19*1000^2/($M$16*($K84/2000)^2*PI())*($K84/1000)/$O$16)*1000*$K84*2)*AE84,(0.3164*52.5*1000*$M$16*(P$19/($M$16*($K84/2000)^2*PI()))^2)/(((P$19*1000^2/($M$16*($K84/2000)^2*PI())*($K84/1000)/$O$16))^0.25*1000*$K84*2)*AE84)</f>
        <v>111.34894935045763</v>
      </c>
      <c r="Q84" s="10">
        <f>IF(Q$19*1000^2/($M$16*($K84/2000)^2*PI())*($K84/1000)/$O$16&lt;2320,(64*52.5*1000*$M$16*(Q$19/($M$16*($K84/2000)^2*PI()))^2)/((Q$19*1000^2/($M$16*($K84/2000)^2*PI())*($K84/1000)/$O$16)*1000*$K84*2)*AF84,(0.3164*52.5*1000*$M$16*(Q$19/($M$16*($K84/2000)^2*PI()))^2)/(((Q$19*1000^2/($M$16*($K84/2000)^2*PI())*($K84/1000)/$O$16))^0.25*1000*$K84*2)*AF84)</f>
        <v>189.56606373994947</v>
      </c>
      <c r="R84" s="10">
        <f>IF(R$19*1000^2/($M$16*($K84/2000)^2*PI())*($K84/1000)/$O$16&lt;2320,(64*52.5*1000*$M$16*(R$19/($M$16*($K84/2000)^2*PI()))^2)/((R$19*1000^2/($M$16*($K84/2000)^2*PI())*($K84/1000)/$O$16)*1000*$K84*2)*AG84,(0.3164*52.5*1000*$M$16*(R$19/($M$16*($K84/2000)^2*PI()))^2)/(((R$19*1000^2/($M$16*($K84/2000)^2*PI())*($K84/1000)/$O$16))^0.25*1000*$K84*2)*AG84)</f>
        <v>287.17489019668767</v>
      </c>
      <c r="S84" s="10">
        <f>IF(S$19*1000^2/($M$16*($K84/2000)^2*PI())*($K84/1000)/$O$16&lt;2320,(64*52.5*1000*$M$16*(S$19/($M$16*($K84/2000)^2*PI()))^2)/((S$19*1000^2/($M$16*($K84/2000)^2*PI())*($K84/1000)/$O$16)*1000*$K84*2)*AH84,(0.3164*52.5*1000*$M$16*(S$19/($M$16*($K84/2000)^2*PI()))^2)/(((S$19*1000^2/($M$16*($K84/2000)^2*PI())*($K84/1000)/$O$16))^0.25*1000*$K84*2)*AH84)</f>
        <v>403.66041611456438</v>
      </c>
      <c r="T84" s="10">
        <f>IF(T$19*1000^2/($M$16*($K84/2000)^2*PI())*($K84/1000)/$O$16&lt;2320,(64*52.5*1000*$M$16*(T$19/($M$16*($K84/2000)^2*PI()))^2)/((T$19*1000^2/($M$16*($K84/2000)^2*PI())*($K84/1000)/$O$16)*1000*$K84*2)*AI84,(0.3164*52.5*1000*$M$16*(T$19/($M$16*($K84/2000)^2*PI()))^2)/(((T$19*1000^2/($M$16*($K84/2000)^2*PI())*($K84/1000)/$O$16))^0.25*1000*$K84*2)*AI84)</f>
        <v>538.66919369631501</v>
      </c>
      <c r="U84" s="10">
        <f>IF(U$19*1000^2/($M$16*($K84/2000)^2*PI())*($K84/1000)/$O$16&lt;2320,(64*52.5*1000*$M$16*(U$19/($M$16*($K84/2000)^2*PI()))^2)/((U$19*1000^2/($M$16*($K84/2000)^2*PI())*($K84/1000)/$O$16)*1000*$K84*2)*AJ84,(0.3164*52.5*1000*$M$16*(U$19/($M$16*($K84/2000)^2*PI()))^2)/(((U$19*1000^2/($M$16*($K84/2000)^2*PI())*($K84/1000)/$O$16))^0.25*1000*$K84*2)*AJ84)</f>
        <v>691.96946105057054</v>
      </c>
      <c r="V84" s="10">
        <f>IF(V$19*1000^2/($M$16*($K84/2000)^2*PI())*($K84/1000)/$O$16&lt;2320,(64*52.5*1000*$M$16*(V$19/($M$16*($K84/2000)^2*PI()))^2)/((V$19*1000^2/($M$16*($K84/2000)^2*PI())*($K84/1000)/$O$16)*1000*$K84*2)*AK84,(0.3164*52.5*1000*$M$16*(V$19/($M$16*($K84/2000)^2*PI()))^2)/(((V$19*1000^2/($M$16*($K84/2000)^2*PI())*($K84/1000)/$O$16))^0.25*1000*$K84*2)*AK84)</f>
        <v>863.4226818053894</v>
      </c>
      <c r="W84" s="10">
        <f>IF(W$19*1000^2/($M$16*($K84/2000)^2*PI())*($K84/1000)/$O$16&lt;2320,(64*52.5*1000*$M$16*(W$19/($M$16*($K84/2000)^2*PI()))^2)/((W$19*1000^2/($M$16*($K84/2000)^2*PI())*($K84/1000)/$O$16)*1000*$K84*2)*AL84,(0.3164*52.5*1000*$M$16*(W$19/($M$16*($K84/2000)^2*PI()))^2)/(((W$19*1000^2/($M$16*($K84/2000)^2*PI())*($K84/1000)/$O$16))^0.25*1000*$K84*2)*AL84)</f>
        <v>1052.9636316268138</v>
      </c>
      <c r="X84" s="10">
        <f>IF(X$19*1000^2/($M$16*($K84/2000)^2*PI())*($K84/1000)/$O$16&lt;2320,(64*52.5*1000*$M$16*(X$19/($M$16*($K84/2000)^2*PI()))^2)/((X$19*1000^2/($M$16*($K84/2000)^2*PI())*($K84/1000)/$O$16)*1000*$K84*2)*AM84,(0.3164*52.5*1000*$M$16*(X$19/($M$16*($K84/2000)^2*PI()))^2)/(((X$19*1000^2/($M$16*($K84/2000)^2*PI())*($K84/1000)/$O$16))^0.25*1000*$K84*2)*AM84)</f>
        <v>1260.586335108768</v>
      </c>
      <c r="Y84" s="10">
        <f>IF(Y$19*1000^2/($M$16*($K84/2000)^2*PI())*($K84/1000)/$O$16&lt;2320,(64*52.5*1000*$M$16*(Y$19/($M$16*($K84/2000)^2*PI()))^2)/((Y$19*1000^2/($M$16*($K84/2000)^2*PI())*($K84/1000)/$O$16)*1000*$K84*2)*AN84,(0.3164*52.5*1000*$M$16*(Y$19/($M$16*($K84/2000)^2*PI()))^2)/(((Y$19*1000^2/($M$16*($K84/2000)^2*PI())*($K84/1000)/$O$16))^0.25*1000*$K84*2)*AN84)</f>
        <v>1486.3339703634813</v>
      </c>
      <c r="AB84">
        <f>IF($J84="Einschraub Einlass 8 mm 45°",((3.4778372890684+2042.77987300805*M$19)/(1 + 92.0325360155405*M$19 + -108.715774416597*M$19^2))/1.548,IF($J84="Einschraub Einlass 10 mm 45°",(3.4778372890684+2042.77987300805*M$19)/(1 + 92.0325360155405*M$19 + -108.715774416597*M$19^2),IF($J84="Einschraub Einlass 13 mm 45°",(1.98154884040722+8559.37423470466*M$19)/(1 + 111.16216889364*M$19 + -73.3088286294707*M$19^2)
)))</f>
        <v>3.4778372890684</v>
      </c>
      <c r="AC84">
        <f>IF($J84="Einschraub Einlass 8 mm 45°",((3.4778372890684+2042.77987300805*N$19)/(1 + 92.0325360155405*N$19 + -108.715774416597*N$19^2))/1.548,IF($J84="Einschraub Einlass 10 mm 45°",(3.4778372890684+2042.77987300805*N$19)/(1 + 92.0325360155405*N$19 + -108.715774416597*N$19^2),IF($J84="Einschraub Einlass 13 mm 45°",(1.98154884040722+8559.37423470466*N$19)/(1 + 111.16216889364*N$19 + -73.3088286294707*N$19^2)
)))</f>
        <v>11.461312592125607</v>
      </c>
      <c r="AD84">
        <f>IF($J84="Einschraub Einlass 8 mm 45°",((3.4778372890684+2042.77987300805*O$19)/(1 + 92.0325360155405*O$19 + -108.715774416597*O$19^2))/1.548,IF($J84="Einschraub Einlass 10 mm 45°",(3.4778372890684+2042.77987300805*O$19)/(1 + 92.0325360155405*O$19 + -108.715774416597*O$19^2),IF($J84="Einschraub Einlass 13 mm 45°",(1.98154884040722+8559.37423470466*O$19)/(1 + 111.16216889364*O$19 + -73.3088286294707*O$19^2)
)))</f>
        <v>14.148510222577533</v>
      </c>
      <c r="AE84">
        <f>IF($J84="Einschraub Einlass 8 mm 45°",((3.4778372890684+2042.77987300805*P$19)/(1 + 92.0325360155405*P$19 + -108.715774416597*P$19^2))/1.548,IF($J84="Einschraub Einlass 10 mm 45°",(3.4778372890684+2042.77987300805*P$19)/(1 + 92.0325360155405*P$19 + -108.715774416597*P$19^2),IF($J84="Einschraub Einlass 13 mm 45°",(1.98154884040722+8559.37423470466*P$19)/(1 + 111.16216889364*P$19 + -73.3088286294707*P$19^2)
)))</f>
        <v>15.84942042809868</v>
      </c>
      <c r="AF84">
        <f>IF($J84="Einschraub Einlass 8 mm 45°",((3.4778372890684+2042.77987300805*Q$19)/(1 + 92.0325360155405*Q$19 + -108.715774416597*Q$19^2))/1.548,IF($J84="Einschraub Einlass 10 mm 45°",(3.4778372890684+2042.77987300805*Q$19)/(1 + 92.0325360155405*Q$19 + -108.715774416597*Q$19^2),IF($J84="Einschraub Einlass 13 mm 45°",(1.98154884040722+8559.37423470466*Q$19)/(1 + 111.16216889364*Q$19 + -73.3088286294707*Q$19^2)
)))</f>
        <v>17.048531956659765</v>
      </c>
      <c r="AG84">
        <f>IF($J84="Einschraub Einlass 8 mm 45°",((3.4778372890684+2042.77987300805*R$19)/(1 + 92.0325360155405*R$19 + -108.715774416597*R$19^2))/1.548,IF($J84="Einschraub Einlass 10 mm 45°",(3.4778372890684+2042.77987300805*R$19)/(1 + 92.0325360155405*R$19 + -108.715774416597*R$19^2),IF($J84="Einschraub Einlass 13 mm 45°",(1.98154884040722+8559.37423470466*R$19)/(1 + 111.16216889364*R$19 + -73.3088286294707*R$19^2)
)))</f>
        <v>17.95823937995209</v>
      </c>
      <c r="AH84">
        <f>IF($J84="Einschraub Einlass 8 mm 45°",((3.4778372890684+2042.77987300805*S$19)/(1 + 92.0325360155405*S$19 + -108.715774416597*S$19^2))/1.548,IF($J84="Einschraub Einlass 10 mm 45°",(3.4778372890684+2042.77987300805*S$19)/(1 + 92.0325360155405*S$19 + -108.715774416597*S$19^2),IF($J84="Einschraub Einlass 13 mm 45°",(1.98154884040722+8559.37423470466*S$19)/(1 + 111.16216889364*S$19 + -73.3088286294707*S$19^2)
)))</f>
        <v>18.686356245592034</v>
      </c>
      <c r="AI84">
        <f>IF($J84="Einschraub Einlass 8 mm 45°",((3.4778372890684+2042.77987300805*T$19)/(1 + 92.0325360155405*T$19 + -108.715774416597*T$19^2))/1.548,IF($J84="Einschraub Einlass 10 mm 45°",(3.4778372890684+2042.77987300805*T$19)/(1 + 92.0325360155405*T$19 + -108.715774416597*T$19^2),IF($J84="Einschraub Einlass 13 mm 45°",(1.98154884040722+8559.37423470466*T$19)/(1 + 111.16216889364*T$19 + -73.3088286294707*T$19^2)
)))</f>
        <v>19.293441828578189</v>
      </c>
      <c r="AJ84">
        <f>IF($J84="Einschraub Einlass 8 mm 45°",((3.4778372890684+2042.77987300805*U$19)/(1 + 92.0325360155405*U$19 + -108.715774416597*U$19^2))/1.548,IF($J84="Einschraub Einlass 10 mm 45°",(3.4778372890684+2042.77987300805*U$19)/(1 + 92.0325360155405*U$19 + -108.715774416597*U$19^2),IF($J84="Einschraub Einlass 13 mm 45°",(1.98154884040722+8559.37423470466*U$19)/(1 + 111.16216889364*U$19 + -73.3088286294707*U$19^2)
)))</f>
        <v>19.816145167632449</v>
      </c>
      <c r="AK84">
        <f>IF($J84="Einschraub Einlass 8 mm 45°",((3.4778372890684+2042.77987300805*V$19)/(1 + 92.0325360155405*V$19 + -108.715774416597*V$19^2))/1.548,IF($J84="Einschraub Einlass 10 mm 45°",(3.4778372890684+2042.77987300805*V$19)/(1 + 92.0325360155405*V$19 + -108.715774416597*V$19^2),IF($J84="Einschraub Einlass 13 mm 45°",(1.98154884040722+8559.37423470466*V$19)/(1 + 111.16216889364*V$19 + -73.3088286294707*V$19^2)
)))</f>
        <v>20.277955267116067</v>
      </c>
      <c r="AL84">
        <f>IF($J84="Einschraub Einlass 8 mm 45°",((3.4778372890684+2042.77987300805*W$19)/(1 + 92.0325360155405*W$19 + -108.715774416597*W$19^2))/1.548,IF($J84="Einschraub Einlass 10 mm 45°",(3.4778372890684+2042.77987300805*W$19)/(1 + 92.0325360155405*W$19 + -108.715774416597*W$19^2),IF($J84="Einschraub Einlass 13 mm 45°",(1.98154884040722+8559.37423470466*W$19)/(1 + 111.16216889364*W$19 + -73.3088286294707*W$19^2)
)))</f>
        <v>20.694630160184133</v>
      </c>
      <c r="AM84">
        <f>IF($J84="Einschraub Einlass 8 mm 45°",((3.4778372890684+2042.77987300805*X$19)/(1 + 92.0325360155405*X$19 + -108.715774416597*X$19^2))/1.548,IF($J84="Einschraub Einlass 10 mm 45°",(3.4778372890684+2042.77987300805*X$19)/(1 + 92.0325360155405*X$19 + -108.715774416597*X$19^2),IF($J84="Einschraub Einlass 13 mm 45°",(1.98154884040722+8559.37423470466*X$19)/(1 + 111.16216889364*X$19 + -73.3088286294707*X$19^2)
)))</f>
        <v>21.077143506225831</v>
      </c>
      <c r="AN84">
        <f>IF($J84="Einschraub Einlass 8 mm 45°",((3.4778372890684+2042.77987300805*Y$19)/(1 + 92.0325360155405*Y$19 + -108.715774416597*Y$19^2))/1.548,IF($J84="Einschraub Einlass 10 mm 45°",(3.4778372890684+2042.77987300805*Y$19)/(1 + 92.0325360155405*Y$19 + -108.715774416597*Y$19^2),IF($J84="Einschraub Einlass 13 mm 45°",(1.98154884040722+8559.37423470466*Y$19)/(1 + 111.16216889364*Y$19 + -73.3088286294707*Y$19^2)
)))</f>
        <v>21.43337926699753</v>
      </c>
      <c r="AQ84">
        <v>61</v>
      </c>
      <c r="AR84" s="14">
        <v>4.6530952615383487</v>
      </c>
      <c r="AS84" s="13">
        <f t="shared" si="16"/>
        <v>45550.76600049276</v>
      </c>
      <c r="AT84" s="9">
        <v>3.6084656495080956</v>
      </c>
      <c r="AU84" s="13">
        <f t="shared" si="17"/>
        <v>35324.523824001393</v>
      </c>
    </row>
    <row r="85" spans="1:47" x14ac:dyDescent="0.35">
      <c r="A85">
        <f t="shared" si="12"/>
        <v>62</v>
      </c>
      <c r="B85" s="13">
        <f t="shared" si="13"/>
        <v>45534.120199229634</v>
      </c>
      <c r="F85">
        <f t="shared" si="14"/>
        <v>62</v>
      </c>
      <c r="G85" s="13">
        <f t="shared" si="15"/>
        <v>35305.380650221166</v>
      </c>
      <c r="I85" s="1">
        <v>15</v>
      </c>
      <c r="J85" t="s">
        <v>34</v>
      </c>
      <c r="K85">
        <f t="shared" si="24"/>
        <v>10</v>
      </c>
      <c r="L85" s="4" t="s">
        <v>12</v>
      </c>
      <c r="M85" s="1">
        <v>0</v>
      </c>
      <c r="N85" s="10">
        <f>IF(N$19*1000^2/($M$16*($K85/2000)^2*PI())*($K85/1000)/$O$16&lt;2320,(64*52.5*1000*$M$16*(N$19/($M$16*($K85/2000)^2*PI()))^2)/((N$19*1000^2/($M$16*($K85/2000)^2*PI())*($K85/1000)/$O$16)*1000*$K85*2)*AC85,(0.3164*52.5*1000*$M$16*(N$19/($M$16*($K85/2000)^2*PI()))^2)/(((N$19*1000^2/($M$16*($K85/2000)^2*PI())*($K85/1000)/$O$16))^0.25*1000*$K85*2)*AC85)</f>
        <v>14.203705425906548</v>
      </c>
      <c r="O85" s="10">
        <f>IF(O$19*1000^2/($M$16*($K85/2000)^2*PI())*($K85/1000)/$O$16&lt;2320,(64*52.5*1000*$M$16*(O$19/($M$16*($K85/2000)^2*PI()))^2)/((O$19*1000^2/($M$16*($K85/2000)^2*PI())*($K85/1000)/$O$16)*1000*$K85*2)*AD85,(0.3164*52.5*1000*$M$16*(O$19/($M$16*($K85/2000)^2*PI()))^2)/(((O$19*1000^2/($M$16*($K85/2000)^2*PI())*($K85/1000)/$O$16))^0.25*1000*$K85*2)*AD85)</f>
        <v>53.248210933140015</v>
      </c>
      <c r="P85" s="10">
        <f>IF(P$19*1000^2/($M$16*($K85/2000)^2*PI())*($K85/1000)/$O$16&lt;2320,(64*52.5*1000*$M$16*(P$19/($M$16*($K85/2000)^2*PI()))^2)/((P$19*1000^2/($M$16*($K85/2000)^2*PI())*($K85/1000)/$O$16)*1000*$K85*2)*AE85,(0.3164*52.5*1000*$M$16*(P$19/($M$16*($K85/2000)^2*PI()))^2)/(((P$19*1000^2/($M$16*($K85/2000)^2*PI())*($K85/1000)/$O$16))^0.25*1000*$K85*2)*AE85)</f>
        <v>111.34894935045763</v>
      </c>
      <c r="Q85" s="10">
        <f>IF(Q$19*1000^2/($M$16*($K85/2000)^2*PI())*($K85/1000)/$O$16&lt;2320,(64*52.5*1000*$M$16*(Q$19/($M$16*($K85/2000)^2*PI()))^2)/((Q$19*1000^2/($M$16*($K85/2000)^2*PI())*($K85/1000)/$O$16)*1000*$K85*2)*AF85,(0.3164*52.5*1000*$M$16*(Q$19/($M$16*($K85/2000)^2*PI()))^2)/(((Q$19*1000^2/($M$16*($K85/2000)^2*PI())*($K85/1000)/$O$16))^0.25*1000*$K85*2)*AF85)</f>
        <v>189.56606373994947</v>
      </c>
      <c r="R85" s="10">
        <f>IF(R$19*1000^2/($M$16*($K85/2000)^2*PI())*($K85/1000)/$O$16&lt;2320,(64*52.5*1000*$M$16*(R$19/($M$16*($K85/2000)^2*PI()))^2)/((R$19*1000^2/($M$16*($K85/2000)^2*PI())*($K85/1000)/$O$16)*1000*$K85*2)*AG85,(0.3164*52.5*1000*$M$16*(R$19/($M$16*($K85/2000)^2*PI()))^2)/(((R$19*1000^2/($M$16*($K85/2000)^2*PI())*($K85/1000)/$O$16))^0.25*1000*$K85*2)*AG85)</f>
        <v>287.17489019668767</v>
      </c>
      <c r="S85" s="10">
        <f>IF(S$19*1000^2/($M$16*($K85/2000)^2*PI())*($K85/1000)/$O$16&lt;2320,(64*52.5*1000*$M$16*(S$19/($M$16*($K85/2000)^2*PI()))^2)/((S$19*1000^2/($M$16*($K85/2000)^2*PI())*($K85/1000)/$O$16)*1000*$K85*2)*AH85,(0.3164*52.5*1000*$M$16*(S$19/($M$16*($K85/2000)^2*PI()))^2)/(((S$19*1000^2/($M$16*($K85/2000)^2*PI())*($K85/1000)/$O$16))^0.25*1000*$K85*2)*AH85)</f>
        <v>403.66041611456438</v>
      </c>
      <c r="T85" s="10">
        <f>IF(T$19*1000^2/($M$16*($K85/2000)^2*PI())*($K85/1000)/$O$16&lt;2320,(64*52.5*1000*$M$16*(T$19/($M$16*($K85/2000)^2*PI()))^2)/((T$19*1000^2/($M$16*($K85/2000)^2*PI())*($K85/1000)/$O$16)*1000*$K85*2)*AI85,(0.3164*52.5*1000*$M$16*(T$19/($M$16*($K85/2000)^2*PI()))^2)/(((T$19*1000^2/($M$16*($K85/2000)^2*PI())*($K85/1000)/$O$16))^0.25*1000*$K85*2)*AI85)</f>
        <v>538.66919369631501</v>
      </c>
      <c r="U85" s="10">
        <f>IF(U$19*1000^2/($M$16*($K85/2000)^2*PI())*($K85/1000)/$O$16&lt;2320,(64*52.5*1000*$M$16*(U$19/($M$16*($K85/2000)^2*PI()))^2)/((U$19*1000^2/($M$16*($K85/2000)^2*PI())*($K85/1000)/$O$16)*1000*$K85*2)*AJ85,(0.3164*52.5*1000*$M$16*(U$19/($M$16*($K85/2000)^2*PI()))^2)/(((U$19*1000^2/($M$16*($K85/2000)^2*PI())*($K85/1000)/$O$16))^0.25*1000*$K85*2)*AJ85)</f>
        <v>691.96946105057054</v>
      </c>
      <c r="V85" s="10">
        <f>IF(V$19*1000^2/($M$16*($K85/2000)^2*PI())*($K85/1000)/$O$16&lt;2320,(64*52.5*1000*$M$16*(V$19/($M$16*($K85/2000)^2*PI()))^2)/((V$19*1000^2/($M$16*($K85/2000)^2*PI())*($K85/1000)/$O$16)*1000*$K85*2)*AK85,(0.3164*52.5*1000*$M$16*(V$19/($M$16*($K85/2000)^2*PI()))^2)/(((V$19*1000^2/($M$16*($K85/2000)^2*PI())*($K85/1000)/$O$16))^0.25*1000*$K85*2)*AK85)</f>
        <v>863.4226818053894</v>
      </c>
      <c r="W85" s="10">
        <f>IF(W$19*1000^2/($M$16*($K85/2000)^2*PI())*($K85/1000)/$O$16&lt;2320,(64*52.5*1000*$M$16*(W$19/($M$16*($K85/2000)^2*PI()))^2)/((W$19*1000^2/($M$16*($K85/2000)^2*PI())*($K85/1000)/$O$16)*1000*$K85*2)*AL85,(0.3164*52.5*1000*$M$16*(W$19/($M$16*($K85/2000)^2*PI()))^2)/(((W$19*1000^2/($M$16*($K85/2000)^2*PI())*($K85/1000)/$O$16))^0.25*1000*$K85*2)*AL85)</f>
        <v>1052.9636316268138</v>
      </c>
      <c r="X85" s="10">
        <f>IF(X$19*1000^2/($M$16*($K85/2000)^2*PI())*($K85/1000)/$O$16&lt;2320,(64*52.5*1000*$M$16*(X$19/($M$16*($K85/2000)^2*PI()))^2)/((X$19*1000^2/($M$16*($K85/2000)^2*PI())*($K85/1000)/$O$16)*1000*$K85*2)*AM85,(0.3164*52.5*1000*$M$16*(X$19/($M$16*($K85/2000)^2*PI()))^2)/(((X$19*1000^2/($M$16*($K85/2000)^2*PI())*($K85/1000)/$O$16))^0.25*1000*$K85*2)*AM85)</f>
        <v>1260.586335108768</v>
      </c>
      <c r="Y85" s="10">
        <f>IF(Y$19*1000^2/($M$16*($K85/2000)^2*PI())*($K85/1000)/$O$16&lt;2320,(64*52.5*1000*$M$16*(Y$19/($M$16*($K85/2000)^2*PI()))^2)/((Y$19*1000^2/($M$16*($K85/2000)^2*PI())*($K85/1000)/$O$16)*1000*$K85*2)*AN85,(0.3164*52.5*1000*$M$16*(Y$19/($M$16*($K85/2000)^2*PI()))^2)/(((Y$19*1000^2/($M$16*($K85/2000)^2*PI())*($K85/1000)/$O$16))^0.25*1000*$K85*2)*AN85)</f>
        <v>1486.3339703634813</v>
      </c>
      <c r="AB85">
        <f>IF($J85="Einschraub Einlass 8 mm 45°",((3.4778372890684+2042.77987300805*M$19)/(1 + 92.0325360155405*M$19 + -108.715774416597*M$19^2))/1.548,IF($J85="Einschraub Einlass 10 mm 45°",(3.4778372890684+2042.77987300805*M$19)/(1 + 92.0325360155405*M$19 + -108.715774416597*M$19^2),IF($J85="Einschraub Einlass 13 mm 45°",(1.98154884040722+8559.37423470466*M$19)/(1 + 111.16216889364*M$19 + -73.3088286294707*M$19^2)
)))</f>
        <v>3.4778372890684</v>
      </c>
      <c r="AC85">
        <f>IF($J85="Einschraub Einlass 8 mm 45°",((3.4778372890684+2042.77987300805*N$19)/(1 + 92.0325360155405*N$19 + -108.715774416597*N$19^2))/1.548,IF($J85="Einschraub Einlass 10 mm 45°",(3.4778372890684+2042.77987300805*N$19)/(1 + 92.0325360155405*N$19 + -108.715774416597*N$19^2),IF($J85="Einschraub Einlass 13 mm 45°",(1.98154884040722+8559.37423470466*N$19)/(1 + 111.16216889364*N$19 + -73.3088286294707*N$19^2)
)))</f>
        <v>11.461312592125607</v>
      </c>
      <c r="AD85">
        <f>IF($J85="Einschraub Einlass 8 mm 45°",((3.4778372890684+2042.77987300805*O$19)/(1 + 92.0325360155405*O$19 + -108.715774416597*O$19^2))/1.548,IF($J85="Einschraub Einlass 10 mm 45°",(3.4778372890684+2042.77987300805*O$19)/(1 + 92.0325360155405*O$19 + -108.715774416597*O$19^2),IF($J85="Einschraub Einlass 13 mm 45°",(1.98154884040722+8559.37423470466*O$19)/(1 + 111.16216889364*O$19 + -73.3088286294707*O$19^2)
)))</f>
        <v>14.148510222577533</v>
      </c>
      <c r="AE85">
        <f>IF($J85="Einschraub Einlass 8 mm 45°",((3.4778372890684+2042.77987300805*P$19)/(1 + 92.0325360155405*P$19 + -108.715774416597*P$19^2))/1.548,IF($J85="Einschraub Einlass 10 mm 45°",(3.4778372890684+2042.77987300805*P$19)/(1 + 92.0325360155405*P$19 + -108.715774416597*P$19^2),IF($J85="Einschraub Einlass 13 mm 45°",(1.98154884040722+8559.37423470466*P$19)/(1 + 111.16216889364*P$19 + -73.3088286294707*P$19^2)
)))</f>
        <v>15.84942042809868</v>
      </c>
      <c r="AF85">
        <f>IF($J85="Einschraub Einlass 8 mm 45°",((3.4778372890684+2042.77987300805*Q$19)/(1 + 92.0325360155405*Q$19 + -108.715774416597*Q$19^2))/1.548,IF($J85="Einschraub Einlass 10 mm 45°",(3.4778372890684+2042.77987300805*Q$19)/(1 + 92.0325360155405*Q$19 + -108.715774416597*Q$19^2),IF($J85="Einschraub Einlass 13 mm 45°",(1.98154884040722+8559.37423470466*Q$19)/(1 + 111.16216889364*Q$19 + -73.3088286294707*Q$19^2)
)))</f>
        <v>17.048531956659765</v>
      </c>
      <c r="AG85">
        <f>IF($J85="Einschraub Einlass 8 mm 45°",((3.4778372890684+2042.77987300805*R$19)/(1 + 92.0325360155405*R$19 + -108.715774416597*R$19^2))/1.548,IF($J85="Einschraub Einlass 10 mm 45°",(3.4778372890684+2042.77987300805*R$19)/(1 + 92.0325360155405*R$19 + -108.715774416597*R$19^2),IF($J85="Einschraub Einlass 13 mm 45°",(1.98154884040722+8559.37423470466*R$19)/(1 + 111.16216889364*R$19 + -73.3088286294707*R$19^2)
)))</f>
        <v>17.95823937995209</v>
      </c>
      <c r="AH85">
        <f>IF($J85="Einschraub Einlass 8 mm 45°",((3.4778372890684+2042.77987300805*S$19)/(1 + 92.0325360155405*S$19 + -108.715774416597*S$19^2))/1.548,IF($J85="Einschraub Einlass 10 mm 45°",(3.4778372890684+2042.77987300805*S$19)/(1 + 92.0325360155405*S$19 + -108.715774416597*S$19^2),IF($J85="Einschraub Einlass 13 mm 45°",(1.98154884040722+8559.37423470466*S$19)/(1 + 111.16216889364*S$19 + -73.3088286294707*S$19^2)
)))</f>
        <v>18.686356245592034</v>
      </c>
      <c r="AI85">
        <f>IF($J85="Einschraub Einlass 8 mm 45°",((3.4778372890684+2042.77987300805*T$19)/(1 + 92.0325360155405*T$19 + -108.715774416597*T$19^2))/1.548,IF($J85="Einschraub Einlass 10 mm 45°",(3.4778372890684+2042.77987300805*T$19)/(1 + 92.0325360155405*T$19 + -108.715774416597*T$19^2),IF($J85="Einschraub Einlass 13 mm 45°",(1.98154884040722+8559.37423470466*T$19)/(1 + 111.16216889364*T$19 + -73.3088286294707*T$19^2)
)))</f>
        <v>19.293441828578189</v>
      </c>
      <c r="AJ85">
        <f>IF($J85="Einschraub Einlass 8 mm 45°",((3.4778372890684+2042.77987300805*U$19)/(1 + 92.0325360155405*U$19 + -108.715774416597*U$19^2))/1.548,IF($J85="Einschraub Einlass 10 mm 45°",(3.4778372890684+2042.77987300805*U$19)/(1 + 92.0325360155405*U$19 + -108.715774416597*U$19^2),IF($J85="Einschraub Einlass 13 mm 45°",(1.98154884040722+8559.37423470466*U$19)/(1 + 111.16216889364*U$19 + -73.3088286294707*U$19^2)
)))</f>
        <v>19.816145167632449</v>
      </c>
      <c r="AK85">
        <f>IF($J85="Einschraub Einlass 8 mm 45°",((3.4778372890684+2042.77987300805*V$19)/(1 + 92.0325360155405*V$19 + -108.715774416597*V$19^2))/1.548,IF($J85="Einschraub Einlass 10 mm 45°",(3.4778372890684+2042.77987300805*V$19)/(1 + 92.0325360155405*V$19 + -108.715774416597*V$19^2),IF($J85="Einschraub Einlass 13 mm 45°",(1.98154884040722+8559.37423470466*V$19)/(1 + 111.16216889364*V$19 + -73.3088286294707*V$19^2)
)))</f>
        <v>20.277955267116067</v>
      </c>
      <c r="AL85">
        <f>IF($J85="Einschraub Einlass 8 mm 45°",((3.4778372890684+2042.77987300805*W$19)/(1 + 92.0325360155405*W$19 + -108.715774416597*W$19^2))/1.548,IF($J85="Einschraub Einlass 10 mm 45°",(3.4778372890684+2042.77987300805*W$19)/(1 + 92.0325360155405*W$19 + -108.715774416597*W$19^2),IF($J85="Einschraub Einlass 13 mm 45°",(1.98154884040722+8559.37423470466*W$19)/(1 + 111.16216889364*W$19 + -73.3088286294707*W$19^2)
)))</f>
        <v>20.694630160184133</v>
      </c>
      <c r="AM85">
        <f>IF($J85="Einschraub Einlass 8 mm 45°",((3.4778372890684+2042.77987300805*X$19)/(1 + 92.0325360155405*X$19 + -108.715774416597*X$19^2))/1.548,IF($J85="Einschraub Einlass 10 mm 45°",(3.4778372890684+2042.77987300805*X$19)/(1 + 92.0325360155405*X$19 + -108.715774416597*X$19^2),IF($J85="Einschraub Einlass 13 mm 45°",(1.98154884040722+8559.37423470466*X$19)/(1 + 111.16216889364*X$19 + -73.3088286294707*X$19^2)
)))</f>
        <v>21.077143506225831</v>
      </c>
      <c r="AN85">
        <f>IF($J85="Einschraub Einlass 8 mm 45°",((3.4778372890684+2042.77987300805*Y$19)/(1 + 92.0325360155405*Y$19 + -108.715774416597*Y$19^2))/1.548,IF($J85="Einschraub Einlass 10 mm 45°",(3.4778372890684+2042.77987300805*Y$19)/(1 + 92.0325360155405*Y$19 + -108.715774416597*Y$19^2),IF($J85="Einschraub Einlass 13 mm 45°",(1.98154884040722+8559.37423470466*Y$19)/(1 + 111.16216889364*Y$19 + -73.3088286294707*Y$19^2)
)))</f>
        <v>21.43337926699753</v>
      </c>
      <c r="AQ85">
        <v>62</v>
      </c>
      <c r="AR85" s="14">
        <v>4.6513948620548113</v>
      </c>
      <c r="AS85" s="13">
        <f t="shared" si="16"/>
        <v>45534.120199229634</v>
      </c>
      <c r="AT85" s="9">
        <v>3.606510138788328</v>
      </c>
      <c r="AU85" s="13">
        <f t="shared" si="17"/>
        <v>35305.380650221166</v>
      </c>
    </row>
    <row r="86" spans="1:47" x14ac:dyDescent="0.35">
      <c r="A86">
        <f t="shared" si="12"/>
        <v>63</v>
      </c>
      <c r="B86" s="13">
        <f t="shared" si="13"/>
        <v>45517.151814452096</v>
      </c>
      <c r="F86">
        <f t="shared" si="14"/>
        <v>63</v>
      </c>
      <c r="G86" s="13">
        <f t="shared" si="15"/>
        <v>35286.144620287603</v>
      </c>
      <c r="I86" s="1">
        <v>16</v>
      </c>
      <c r="J86" t="s">
        <v>35</v>
      </c>
      <c r="K86">
        <f>IF(J86="Einschraub Auslass 8 mm 45°",8,IF(J86="Einschraub Auslass 10 mm 45°",10,IF(J86="Einschraub Auslass 13 mm 45°",13)))</f>
        <v>10</v>
      </c>
      <c r="L86" s="4" t="s">
        <v>12</v>
      </c>
      <c r="M86" s="1">
        <v>0</v>
      </c>
      <c r="N86" s="10">
        <f>IF(N$19*1000^2/($M$16*($K86/2000)^2*PI())*($K86/1000)/$O$16&lt;2320,(64*52.5*1000*$M$16*(N$19/($M$16*($K86/2000)^2*PI()))^2)/((N$19*1000^2/($M$16*($K86/2000)^2*PI())*($K86/1000)/$O$16)*1000*$K86*2)*AC86,(0.3164*52.5*1000*$M$16*(N$19/($M$16*($K86/2000)^2*PI()))^2)/(((N$19*1000^2/($M$16*($K86/2000)^2*PI())*($K86/1000)/$O$16))^0.25*1000*$K86*2)*AC86)</f>
        <v>2.9883828589616455</v>
      </c>
      <c r="O86" s="10">
        <f>IF(O$19*1000^2/($M$16*($K86/2000)^2*PI())*($K86/1000)/$O$16&lt;2320,(64*52.5*1000*$M$16*(O$19/($M$16*($K86/2000)^2*PI()))^2)/((O$19*1000^2/($M$16*($K86/2000)^2*PI())*($K86/1000)/$O$16)*1000*$K86*2)*AD86,(0.3164*52.5*1000*$M$16*(O$19/($M$16*($K86/2000)^2*PI()))^2)/(((O$19*1000^2/($M$16*($K86/2000)^2*PI())*($K86/1000)/$O$16))^0.25*1000*$K86*2)*AD86)</f>
        <v>14.589460185945743</v>
      </c>
      <c r="P86" s="10">
        <f>IF(P$19*1000^2/($M$16*($K86/2000)^2*PI())*($K86/1000)/$O$16&lt;2320,(64*52.5*1000*$M$16*(P$19/($M$16*($K86/2000)^2*PI()))^2)/((P$19*1000^2/($M$16*($K86/2000)^2*PI())*($K86/1000)/$O$16)*1000*$K86*2)*AE86,(0.3164*52.5*1000*$M$16*(P$19/($M$16*($K86/2000)^2*PI()))^2)/(((P$19*1000^2/($M$16*($K86/2000)^2*PI())*($K86/1000)/$O$16))^0.25*1000*$K86*2)*AE86)</f>
        <v>37.185202343531635</v>
      </c>
      <c r="Q86" s="10">
        <f>IF(Q$19*1000^2/($M$16*($K86/2000)^2*PI())*($K86/1000)/$O$16&lt;2320,(64*52.5*1000*$M$16*(Q$19/($M$16*($K86/2000)^2*PI()))^2)/((Q$19*1000^2/($M$16*($K86/2000)^2*PI())*($K86/1000)/$O$16)*1000*$K86*2)*AF86,(0.3164*52.5*1000*$M$16*(Q$19/($M$16*($K86/2000)^2*PI()))^2)/(((Q$19*1000^2/($M$16*($K86/2000)^2*PI())*($K86/1000)/$O$16))^0.25*1000*$K86*2)*AF86)</f>
        <v>73.933959456578194</v>
      </c>
      <c r="R86" s="10">
        <f>IF(R$19*1000^2/($M$16*($K86/2000)^2*PI())*($K86/1000)/$O$16&lt;2320,(64*52.5*1000*$M$16*(R$19/($M$16*($K86/2000)^2*PI()))^2)/((R$19*1000^2/($M$16*($K86/2000)^2*PI())*($K86/1000)/$O$16)*1000*$K86*2)*AG86,(0.3164*52.5*1000*$M$16*(R$19/($M$16*($K86/2000)^2*PI()))^2)/(((R$19*1000^2/($M$16*($K86/2000)^2*PI())*($K86/1000)/$O$16))^0.25*1000*$K86*2)*AG86)</f>
        <v>126.90298616901575</v>
      </c>
      <c r="S86" s="10">
        <f>IF(S$19*1000^2/($M$16*($K86/2000)^2*PI())*($K86/1000)/$O$16&lt;2320,(64*52.5*1000*$M$16*(S$19/($M$16*($K86/2000)^2*PI()))^2)/((S$19*1000^2/($M$16*($K86/2000)^2*PI())*($K86/1000)/$O$16)*1000*$K86*2)*AH86,(0.3164*52.5*1000*$M$16*(S$19/($M$16*($K86/2000)^2*PI()))^2)/(((S$19*1000^2/($M$16*($K86/2000)^2*PI())*($K86/1000)/$O$16))^0.25*1000*$K86*2)*AH86)</f>
        <v>197.54864281744443</v>
      </c>
      <c r="T86" s="10">
        <f>IF(T$19*1000^2/($M$16*($K86/2000)^2*PI())*($K86/1000)/$O$16&lt;2320,(64*52.5*1000*$M$16*(T$19/($M$16*($K86/2000)^2*PI()))^2)/((T$19*1000^2/($M$16*($K86/2000)^2*PI())*($K86/1000)/$O$16)*1000*$K86*2)*AI86,(0.3164*52.5*1000*$M$16*(T$19/($M$16*($K86/2000)^2*PI()))^2)/(((T$19*1000^2/($M$16*($K86/2000)^2*PI())*($K86/1000)/$O$16))^0.25*1000*$K86*2)*AI86)</f>
        <v>286.76915001241917</v>
      </c>
      <c r="U86" s="10">
        <f>IF(U$19*1000^2/($M$16*($K86/2000)^2*PI())*($K86/1000)/$O$16&lt;2320,(64*52.5*1000*$M$16*(U$19/($M$16*($K86/2000)^2*PI()))^2)/((U$19*1000^2/($M$16*($K86/2000)^2*PI())*($K86/1000)/$O$16)*1000*$K86*2)*AJ86,(0.3164*52.5*1000*$M$16*(U$19/($M$16*($K86/2000)^2*PI()))^2)/(((U$19*1000^2/($M$16*($K86/2000)^2*PI())*($K86/1000)/$O$16))^0.25*1000*$K86*2)*AJ86)</f>
        <v>394.96191370163172</v>
      </c>
      <c r="V86" s="10">
        <f>IF(V$19*1000^2/($M$16*($K86/2000)^2*PI())*($K86/1000)/$O$16&lt;2320,(64*52.5*1000*$M$16*(V$19/($M$16*($K86/2000)^2*PI()))^2)/((V$19*1000^2/($M$16*($K86/2000)^2*PI())*($K86/1000)/$O$16)*1000*$K86*2)*AK86,(0.3164*52.5*1000*$M$16*(V$19/($M$16*($K86/2000)^2*PI()))^2)/(((V$19*1000^2/($M$16*($K86/2000)^2*PI())*($K86/1000)/$O$16))^0.25*1000*$K86*2)*AK86)</f>
        <v>522.08710585348069</v>
      </c>
      <c r="W86" s="10">
        <f>IF(W$19*1000^2/($M$16*($K86/2000)^2*PI())*($K86/1000)/$O$16&lt;2320,(64*52.5*1000*$M$16*(W$19/($M$16*($K86/2000)^2*PI()))^2)/((W$19*1000^2/($M$16*($K86/2000)^2*PI())*($K86/1000)/$O$16)*1000*$K86*2)*AL86,(0.3164*52.5*1000*$M$16*(W$19/($M$16*($K86/2000)^2*PI()))^2)/(((W$19*1000^2/($M$16*($K86/2000)^2*PI())*($K86/1000)/$O$16))^0.25*1000*$K86*2)*AL86)</f>
        <v>667.73559527423981</v>
      </c>
      <c r="X86" s="10">
        <f>IF(X$19*1000^2/($M$16*($K86/2000)^2*PI())*($K86/1000)/$O$16&lt;2320,(64*52.5*1000*$M$16*(X$19/($M$16*($K86/2000)^2*PI()))^2)/((X$19*1000^2/($M$16*($K86/2000)^2*PI())*($K86/1000)/$O$16)*1000*$K86*2)*AM86,(0.3164*52.5*1000*$M$16*(X$19/($M$16*($K86/2000)^2*PI()))^2)/(((X$19*1000^2/($M$16*($K86/2000)^2*PI())*($K86/1000)/$O$16))^0.25*1000*$K86*2)*AM86)</f>
        <v>831.19817264221149</v>
      </c>
      <c r="Y86" s="10">
        <f>IF(Y$19*1000^2/($M$16*($K86/2000)^2*PI())*($K86/1000)/$O$16&lt;2320,(64*52.5*1000*$M$16*(Y$19/($M$16*($K86/2000)^2*PI()))^2)/((Y$19*1000^2/($M$16*($K86/2000)^2*PI())*($K86/1000)/$O$16)*1000*$K86*2)*AN86,(0.3164*52.5*1000*$M$16*(Y$19/($M$16*($K86/2000)^2*PI()))^2)/(((Y$19*1000^2/($M$16*($K86/2000)^2*PI())*($K86/1000)/$O$16))^0.25*1000*$K86*2)*AN86)</f>
        <v>1011.5329697800428</v>
      </c>
      <c r="AB86">
        <f>IF($J86="Einschraub Auslass 8 mm 45°",((0.404576162682549+253.786329000746*M$19)/(1 + 0.847653701692911*M$19 + 46.1112262126323*M$19^2))/1.548,IF($J86="Einschraub Auslass 10 mm 45°",(0.404576162682549+253.786329000746*M$19)/(1 + 0.847653701692911*M$19 + 46.1112262126323*M$19^2),IF($J86="Einschraub Auslass 13 mm 45°",(5.58084941372331+341.135964926462*M$19)/(1 + -10.1477119185299*M$19 + 109.902265064484*M$19^2))))</f>
        <v>0.40457616268254898</v>
      </c>
      <c r="AC86">
        <f>IF($J86="Einschraub Auslass 8 mm 45°",((0.404576162682549+253.786329000746*N$19)/(1 + 0.847653701692911*N$19 + 46.1112262126323*N$19^2))/1.548,IF($J86="Einschraub Auslass 10 mm 45°",(0.404576162682549+253.786329000746*N$19)/(1 + 0.847653701692911*N$19 + 46.1112262126323*N$19^2),IF($J86="Einschraub Auslass 13 mm 45°",(5.58084941372331+341.135964926462*N$19)/(1 + -10.1477119185299*N$19 + 109.902265064484*N$19^2))))</f>
        <v>2.4113982277496704</v>
      </c>
      <c r="AD86">
        <f>IF($J86="Einschraub Auslass 8 mm 45°",((0.404576162682549+253.786329000746*O$19)/(1 + 0.847653701692911*O$19 + 46.1112262126323*O$19^2))/1.548,IF($J86="Einschraub Auslass 10 mm 45°",(0.404576162682549+253.786329000746*O$19)/(1 + 0.847653701692911*O$19 + 46.1112262126323*O$19^2),IF($J86="Einschraub Auslass 13 mm 45°",(5.58084941372331+341.135964926462*O$19)/(1 + -10.1477119185299*O$19 + 109.902265064484*O$19^2))))</f>
        <v>3.8765457649258313</v>
      </c>
      <c r="AE86">
        <f>IF($J86="Einschraub Auslass 8 mm 45°",((0.404576162682549+253.786329000746*P$19)/(1 + 0.847653701692911*P$19 + 46.1112262126323*P$19^2))/1.548,IF($J86="Einschraub Auslass 10 mm 45°",(0.404576162682549+253.786329000746*P$19)/(1 + 0.847653701692911*P$19 + 46.1112262126323*P$19^2),IF($J86="Einschraub Auslass 13 mm 45°",(5.58084941372331+341.135964926462*P$19)/(1 + -10.1477119185299*P$19 + 109.902265064484*P$19^2))))</f>
        <v>5.2929453675543909</v>
      </c>
      <c r="AF86">
        <f>IF($J86="Einschraub Auslass 8 mm 45°",((0.404576162682549+253.786329000746*Q$19)/(1 + 0.847653701692911*Q$19 + 46.1112262126323*Q$19^2))/1.548,IF($J86="Einschraub Auslass 10 mm 45°",(0.404576162682549+253.786329000746*Q$19)/(1 + 0.847653701692911*Q$19 + 46.1112262126323*Q$19^2),IF($J86="Einschraub Auslass 13 mm 45°",(5.58084941372331+341.135964926462*Q$19)/(1 + -10.1477119185299*Q$19 + 109.902265064484*Q$19^2))))</f>
        <v>6.6492147677180897</v>
      </c>
      <c r="AG86">
        <f>IF($J86="Einschraub Auslass 8 mm 45°",((0.404576162682549+253.786329000746*R$19)/(1 + 0.847653701692911*R$19 + 46.1112262126323*R$19^2))/1.548,IF($J86="Einschraub Auslass 10 mm 45°",(0.404576162682549+253.786329000746*R$19)/(1 + 0.847653701692911*R$19 + 46.1112262126323*R$19^2),IF($J86="Einschraub Auslass 13 mm 45°",(5.58084941372331+341.135964926462*R$19)/(1 + -10.1477119185299*R$19 + 109.902265064484*R$19^2))))</f>
        <v>7.935771132681781</v>
      </c>
      <c r="AH86">
        <f>IF($J86="Einschraub Auslass 8 mm 45°",((0.404576162682549+253.786329000746*S$19)/(1 + 0.847653701692911*S$19 + 46.1112262126323*S$19^2))/1.548,IF($J86="Einschraub Auslass 10 mm 45°",(0.404576162682549+253.786329000746*S$19)/(1 + 0.847653701692911*S$19 + 46.1112262126323*S$19^2),IF($J86="Einschraub Auslass 13 mm 45°",(5.58084941372331+341.135964926462*S$19)/(1 + -10.1477119185299*S$19 + 109.902265064484*S$19^2))))</f>
        <v>9.1449747563860555</v>
      </c>
      <c r="AI86">
        <f>IF($J86="Einschraub Auslass 8 mm 45°",((0.404576162682549+253.786329000746*T$19)/(1 + 0.847653701692911*T$19 + 46.1112262126323*T$19^2))/1.548,IF($J86="Einschraub Auslass 10 mm 45°",(0.404576162682549+253.786329000746*T$19)/(1 + 0.847653701692911*T$19 + 46.1112262126323*T$19^2),IF($J86="Einschraub Auslass 13 mm 45°",(5.58084941372331+341.135964926462*T$19)/(1 + -10.1477119185299*T$19 + 109.902265064484*T$19^2))))</f>
        <v>10.271171952548343</v>
      </c>
      <c r="AJ86">
        <f>IF($J86="Einschraub Auslass 8 mm 45°",((0.404576162682549+253.786329000746*U$19)/(1 + 0.847653701692911*U$19 + 46.1112262126323*U$19^2))/1.548,IF($J86="Einschraub Auslass 10 mm 45°",(0.404576162682549+253.786329000746*U$19)/(1 + 0.847653701692911*U$19 + 46.1112262126323*U$19^2),IF($J86="Einschraub Auslass 13 mm 45°",(5.58084941372331+341.135964926462*U$19)/(1 + -10.1477119185299*U$19 + 109.902265064484*U$19^2))))</f>
        <v>11.3106474463697</v>
      </c>
      <c r="AK86">
        <f>IF($J86="Einschraub Auslass 8 mm 45°",((0.404576162682549+253.786329000746*V$19)/(1 + 0.847653701692911*V$19 + 46.1112262126323*V$19^2))/1.548,IF($J86="Einschraub Auslass 10 mm 45°",(0.404576162682549+253.786329000746*V$19)/(1 + 0.847653701692911*V$19 + 46.1112262126323*V$19^2),IF($J86="Einschraub Auslass 13 mm 45°",(5.58084941372331+341.135964926462*V$19)/(1 + -10.1477119185299*V$19 + 109.902265064484*V$19^2))))</f>
        <v>12.261502044280544</v>
      </c>
      <c r="AL86">
        <f>IF($J86="Einschraub Auslass 8 mm 45°",((0.404576162682549+253.786329000746*W$19)/(1 + 0.847653701692911*W$19 + 46.1112262126323*W$19^2))/1.548,IF($J86="Einschraub Auslass 10 mm 45°",(0.404576162682549+253.786329000746*W$19)/(1 + 0.847653701692911*W$19 + 46.1112262126323*W$19^2),IF($J86="Einschraub Auslass 13 mm 45°",(5.58084941372331+341.135964926462*W$19)/(1 + -10.1477119185299*W$19 + 109.902265064484*W$19^2))))</f>
        <v>13.123474328967411</v>
      </c>
      <c r="AM86">
        <f>IF($J86="Einschraub Auslass 8 mm 45°",((0.404576162682549+253.786329000746*X$19)/(1 + 0.847653701692911*X$19 + 46.1112262126323*X$19^2))/1.548,IF($J86="Einschraub Auslass 10 mm 45°",(0.404576162682549+253.786329000746*X$19)/(1 + 0.847653701692911*X$19 + 46.1112262126323*X$19^2),IF($J86="Einschraub Auslass 13 mm 45°",(5.58084941372331+341.135964926462*X$19)/(1 + -10.1477119185299*X$19 + 109.902265064484*X$19^2))))</f>
        <v>13.897725747900429</v>
      </c>
      <c r="AN86">
        <f>IF($J86="Einschraub Auslass 8 mm 45°",((0.404576162682549+253.786329000746*Y$19)/(1 + 0.847653701692911*Y$19 + 46.1112262126323*Y$19^2))/1.548,IF($J86="Einschraub Auslass 10 mm 45°",(0.404576162682549+253.786329000746*Y$19)/(1 + 0.847653701692911*Y$19 + 46.1112262126323*Y$19^2),IF($J86="Einschraub Auslass 13 mm 45°",(5.58084941372331+341.135964926462*Y$19)/(1 + -10.1477119185299*Y$19 + 109.902265064484*Y$19^2))))</f>
        <v>14.586607192370131</v>
      </c>
      <c r="AQ86">
        <v>63</v>
      </c>
      <c r="AR86" s="14">
        <v>4.6496615100667578</v>
      </c>
      <c r="AS86" s="13">
        <f t="shared" si="16"/>
        <v>45517.151814452096</v>
      </c>
      <c r="AT86" s="9">
        <v>3.6045451426402133</v>
      </c>
      <c r="AU86" s="13">
        <f t="shared" si="17"/>
        <v>35286.144620287603</v>
      </c>
    </row>
    <row r="87" spans="1:47" x14ac:dyDescent="0.35">
      <c r="A87">
        <f t="shared" si="12"/>
        <v>64</v>
      </c>
      <c r="B87" s="13">
        <f t="shared" si="13"/>
        <v>45499.859863959158</v>
      </c>
      <c r="F87">
        <f t="shared" si="14"/>
        <v>64</v>
      </c>
      <c r="G87" s="13">
        <f t="shared" si="15"/>
        <v>35266.816768483935</v>
      </c>
      <c r="I87" s="1">
        <v>17</v>
      </c>
      <c r="J87" t="s">
        <v>35</v>
      </c>
      <c r="K87">
        <f t="shared" ref="K87:K88" si="25">IF(J87="Einschraub Auslass 8 mm 45°",8,IF(J87="Einschraub Auslass 10 mm 45°",10,IF(J87="Einschraub Auslass 13 mm 45°",13)))</f>
        <v>10</v>
      </c>
      <c r="L87" s="4" t="s">
        <v>12</v>
      </c>
      <c r="M87" s="1">
        <v>0</v>
      </c>
      <c r="N87" s="10">
        <f>IF(N$19*1000^2/($M$16*($K87/2000)^2*PI())*($K87/1000)/$O$16&lt;2320,(64*52.5*1000*$M$16*(N$19/($M$16*($K87/2000)^2*PI()))^2)/((N$19*1000^2/($M$16*($K87/2000)^2*PI())*($K87/1000)/$O$16)*1000*$K87*2)*AC87,(0.3164*52.5*1000*$M$16*(N$19/($M$16*($K87/2000)^2*PI()))^2)/(((N$19*1000^2/($M$16*($K87/2000)^2*PI())*($K87/1000)/$O$16))^0.25*1000*$K87*2)*AC87)</f>
        <v>2.9883828589616455</v>
      </c>
      <c r="O87" s="10">
        <f>IF(O$19*1000^2/($M$16*($K87/2000)^2*PI())*($K87/1000)/$O$16&lt;2320,(64*52.5*1000*$M$16*(O$19/($M$16*($K87/2000)^2*PI()))^2)/((O$19*1000^2/($M$16*($K87/2000)^2*PI())*($K87/1000)/$O$16)*1000*$K87*2)*AD87,(0.3164*52.5*1000*$M$16*(O$19/($M$16*($K87/2000)^2*PI()))^2)/(((O$19*1000^2/($M$16*($K87/2000)^2*PI())*($K87/1000)/$O$16))^0.25*1000*$K87*2)*AD87)</f>
        <v>14.589460185945743</v>
      </c>
      <c r="P87" s="10">
        <f>IF(P$19*1000^2/($M$16*($K87/2000)^2*PI())*($K87/1000)/$O$16&lt;2320,(64*52.5*1000*$M$16*(P$19/($M$16*($K87/2000)^2*PI()))^2)/((P$19*1000^2/($M$16*($K87/2000)^2*PI())*($K87/1000)/$O$16)*1000*$K87*2)*AE87,(0.3164*52.5*1000*$M$16*(P$19/($M$16*($K87/2000)^2*PI()))^2)/(((P$19*1000^2/($M$16*($K87/2000)^2*PI())*($K87/1000)/$O$16))^0.25*1000*$K87*2)*AE87)</f>
        <v>37.185202343531635</v>
      </c>
      <c r="Q87" s="10">
        <f>IF(Q$19*1000^2/($M$16*($K87/2000)^2*PI())*($K87/1000)/$O$16&lt;2320,(64*52.5*1000*$M$16*(Q$19/($M$16*($K87/2000)^2*PI()))^2)/((Q$19*1000^2/($M$16*($K87/2000)^2*PI())*($K87/1000)/$O$16)*1000*$K87*2)*AF87,(0.3164*52.5*1000*$M$16*(Q$19/($M$16*($K87/2000)^2*PI()))^2)/(((Q$19*1000^2/($M$16*($K87/2000)^2*PI())*($K87/1000)/$O$16))^0.25*1000*$K87*2)*AF87)</f>
        <v>73.933959456578194</v>
      </c>
      <c r="R87" s="10">
        <f>IF(R$19*1000^2/($M$16*($K87/2000)^2*PI())*($K87/1000)/$O$16&lt;2320,(64*52.5*1000*$M$16*(R$19/($M$16*($K87/2000)^2*PI()))^2)/((R$19*1000^2/($M$16*($K87/2000)^2*PI())*($K87/1000)/$O$16)*1000*$K87*2)*AG87,(0.3164*52.5*1000*$M$16*(R$19/($M$16*($K87/2000)^2*PI()))^2)/(((R$19*1000^2/($M$16*($K87/2000)^2*PI())*($K87/1000)/$O$16))^0.25*1000*$K87*2)*AG87)</f>
        <v>126.90298616901575</v>
      </c>
      <c r="S87" s="10">
        <f>IF(S$19*1000^2/($M$16*($K87/2000)^2*PI())*($K87/1000)/$O$16&lt;2320,(64*52.5*1000*$M$16*(S$19/($M$16*($K87/2000)^2*PI()))^2)/((S$19*1000^2/($M$16*($K87/2000)^2*PI())*($K87/1000)/$O$16)*1000*$K87*2)*AH87,(0.3164*52.5*1000*$M$16*(S$19/($M$16*($K87/2000)^2*PI()))^2)/(((S$19*1000^2/($M$16*($K87/2000)^2*PI())*($K87/1000)/$O$16))^0.25*1000*$K87*2)*AH87)</f>
        <v>197.54864281744443</v>
      </c>
      <c r="T87" s="10">
        <f>IF(T$19*1000^2/($M$16*($K87/2000)^2*PI())*($K87/1000)/$O$16&lt;2320,(64*52.5*1000*$M$16*(T$19/($M$16*($K87/2000)^2*PI()))^2)/((T$19*1000^2/($M$16*($K87/2000)^2*PI())*($K87/1000)/$O$16)*1000*$K87*2)*AI87,(0.3164*52.5*1000*$M$16*(T$19/($M$16*($K87/2000)^2*PI()))^2)/(((T$19*1000^2/($M$16*($K87/2000)^2*PI())*($K87/1000)/$O$16))^0.25*1000*$K87*2)*AI87)</f>
        <v>286.76915001241917</v>
      </c>
      <c r="U87" s="10">
        <f>IF(U$19*1000^2/($M$16*($K87/2000)^2*PI())*($K87/1000)/$O$16&lt;2320,(64*52.5*1000*$M$16*(U$19/($M$16*($K87/2000)^2*PI()))^2)/((U$19*1000^2/($M$16*($K87/2000)^2*PI())*($K87/1000)/$O$16)*1000*$K87*2)*AJ87,(0.3164*52.5*1000*$M$16*(U$19/($M$16*($K87/2000)^2*PI()))^2)/(((U$19*1000^2/($M$16*($K87/2000)^2*PI())*($K87/1000)/$O$16))^0.25*1000*$K87*2)*AJ87)</f>
        <v>394.96191370163172</v>
      </c>
      <c r="V87" s="10">
        <f>IF(V$19*1000^2/($M$16*($K87/2000)^2*PI())*($K87/1000)/$O$16&lt;2320,(64*52.5*1000*$M$16*(V$19/($M$16*($K87/2000)^2*PI()))^2)/((V$19*1000^2/($M$16*($K87/2000)^2*PI())*($K87/1000)/$O$16)*1000*$K87*2)*AK87,(0.3164*52.5*1000*$M$16*(V$19/($M$16*($K87/2000)^2*PI()))^2)/(((V$19*1000^2/($M$16*($K87/2000)^2*PI())*($K87/1000)/$O$16))^0.25*1000*$K87*2)*AK87)</f>
        <v>522.08710585348069</v>
      </c>
      <c r="W87" s="10">
        <f>IF(W$19*1000^2/($M$16*($K87/2000)^2*PI())*($K87/1000)/$O$16&lt;2320,(64*52.5*1000*$M$16*(W$19/($M$16*($K87/2000)^2*PI()))^2)/((W$19*1000^2/($M$16*($K87/2000)^2*PI())*($K87/1000)/$O$16)*1000*$K87*2)*AL87,(0.3164*52.5*1000*$M$16*(W$19/($M$16*($K87/2000)^2*PI()))^2)/(((W$19*1000^2/($M$16*($K87/2000)^2*PI())*($K87/1000)/$O$16))^0.25*1000*$K87*2)*AL87)</f>
        <v>667.73559527423981</v>
      </c>
      <c r="X87" s="10">
        <f>IF(X$19*1000^2/($M$16*($K87/2000)^2*PI())*($K87/1000)/$O$16&lt;2320,(64*52.5*1000*$M$16*(X$19/($M$16*($K87/2000)^2*PI()))^2)/((X$19*1000^2/($M$16*($K87/2000)^2*PI())*($K87/1000)/$O$16)*1000*$K87*2)*AM87,(0.3164*52.5*1000*$M$16*(X$19/($M$16*($K87/2000)^2*PI()))^2)/(((X$19*1000^2/($M$16*($K87/2000)^2*PI())*($K87/1000)/$O$16))^0.25*1000*$K87*2)*AM87)</f>
        <v>831.19817264221149</v>
      </c>
      <c r="Y87" s="10">
        <f>IF(Y$19*1000^2/($M$16*($K87/2000)^2*PI())*($K87/1000)/$O$16&lt;2320,(64*52.5*1000*$M$16*(Y$19/($M$16*($K87/2000)^2*PI()))^2)/((Y$19*1000^2/($M$16*($K87/2000)^2*PI())*($K87/1000)/$O$16)*1000*$K87*2)*AN87,(0.3164*52.5*1000*$M$16*(Y$19/($M$16*($K87/2000)^2*PI()))^2)/(((Y$19*1000^2/($M$16*($K87/2000)^2*PI())*($K87/1000)/$O$16))^0.25*1000*$K87*2)*AN87)</f>
        <v>1011.5329697800428</v>
      </c>
      <c r="AB87">
        <f>IF($J87="Einschraub Auslass 8 mm 45°",((0.404576162682549+253.786329000746*M$19)/(1 + 0.847653701692911*M$19 + 46.1112262126323*M$19^2))/1.548,IF($J87="Einschraub Auslass 10 mm 45°",(0.404576162682549+253.786329000746*M$19)/(1 + 0.847653701692911*M$19 + 46.1112262126323*M$19^2),IF($J87="Einschraub Auslass 13 mm 45°",(5.58084941372331+341.135964926462*M$19)/(1 + -10.1477119185299*M$19 + 109.902265064484*M$19^2))))</f>
        <v>0.40457616268254898</v>
      </c>
      <c r="AC87">
        <f>IF($J87="Einschraub Auslass 8 mm 45°",((0.404576162682549+253.786329000746*N$19)/(1 + 0.847653701692911*N$19 + 46.1112262126323*N$19^2))/1.548,IF($J87="Einschraub Auslass 10 mm 45°",(0.404576162682549+253.786329000746*N$19)/(1 + 0.847653701692911*N$19 + 46.1112262126323*N$19^2),IF($J87="Einschraub Auslass 13 mm 45°",(5.58084941372331+341.135964926462*N$19)/(1 + -10.1477119185299*N$19 + 109.902265064484*N$19^2))))</f>
        <v>2.4113982277496704</v>
      </c>
      <c r="AD87">
        <f>IF($J87="Einschraub Auslass 8 mm 45°",((0.404576162682549+253.786329000746*O$19)/(1 + 0.847653701692911*O$19 + 46.1112262126323*O$19^2))/1.548,IF($J87="Einschraub Auslass 10 mm 45°",(0.404576162682549+253.786329000746*O$19)/(1 + 0.847653701692911*O$19 + 46.1112262126323*O$19^2),IF($J87="Einschraub Auslass 13 mm 45°",(5.58084941372331+341.135964926462*O$19)/(1 + -10.1477119185299*O$19 + 109.902265064484*O$19^2))))</f>
        <v>3.8765457649258313</v>
      </c>
      <c r="AE87">
        <f>IF($J87="Einschraub Auslass 8 mm 45°",((0.404576162682549+253.786329000746*P$19)/(1 + 0.847653701692911*P$19 + 46.1112262126323*P$19^2))/1.548,IF($J87="Einschraub Auslass 10 mm 45°",(0.404576162682549+253.786329000746*P$19)/(1 + 0.847653701692911*P$19 + 46.1112262126323*P$19^2),IF($J87="Einschraub Auslass 13 mm 45°",(5.58084941372331+341.135964926462*P$19)/(1 + -10.1477119185299*P$19 + 109.902265064484*P$19^2))))</f>
        <v>5.2929453675543909</v>
      </c>
      <c r="AF87">
        <f>IF($J87="Einschraub Auslass 8 mm 45°",((0.404576162682549+253.786329000746*Q$19)/(1 + 0.847653701692911*Q$19 + 46.1112262126323*Q$19^2))/1.548,IF($J87="Einschraub Auslass 10 mm 45°",(0.404576162682549+253.786329000746*Q$19)/(1 + 0.847653701692911*Q$19 + 46.1112262126323*Q$19^2),IF($J87="Einschraub Auslass 13 mm 45°",(5.58084941372331+341.135964926462*Q$19)/(1 + -10.1477119185299*Q$19 + 109.902265064484*Q$19^2))))</f>
        <v>6.6492147677180897</v>
      </c>
      <c r="AG87">
        <f>IF($J87="Einschraub Auslass 8 mm 45°",((0.404576162682549+253.786329000746*R$19)/(1 + 0.847653701692911*R$19 + 46.1112262126323*R$19^2))/1.548,IF($J87="Einschraub Auslass 10 mm 45°",(0.404576162682549+253.786329000746*R$19)/(1 + 0.847653701692911*R$19 + 46.1112262126323*R$19^2),IF($J87="Einschraub Auslass 13 mm 45°",(5.58084941372331+341.135964926462*R$19)/(1 + -10.1477119185299*R$19 + 109.902265064484*R$19^2))))</f>
        <v>7.935771132681781</v>
      </c>
      <c r="AH87">
        <f>IF($J87="Einschraub Auslass 8 mm 45°",((0.404576162682549+253.786329000746*S$19)/(1 + 0.847653701692911*S$19 + 46.1112262126323*S$19^2))/1.548,IF($J87="Einschraub Auslass 10 mm 45°",(0.404576162682549+253.786329000746*S$19)/(1 + 0.847653701692911*S$19 + 46.1112262126323*S$19^2),IF($J87="Einschraub Auslass 13 mm 45°",(5.58084941372331+341.135964926462*S$19)/(1 + -10.1477119185299*S$19 + 109.902265064484*S$19^2))))</f>
        <v>9.1449747563860555</v>
      </c>
      <c r="AI87">
        <f>IF($J87="Einschraub Auslass 8 mm 45°",((0.404576162682549+253.786329000746*T$19)/(1 + 0.847653701692911*T$19 + 46.1112262126323*T$19^2))/1.548,IF($J87="Einschraub Auslass 10 mm 45°",(0.404576162682549+253.786329000746*T$19)/(1 + 0.847653701692911*T$19 + 46.1112262126323*T$19^2),IF($J87="Einschraub Auslass 13 mm 45°",(5.58084941372331+341.135964926462*T$19)/(1 + -10.1477119185299*T$19 + 109.902265064484*T$19^2))))</f>
        <v>10.271171952548343</v>
      </c>
      <c r="AJ87">
        <f>IF($J87="Einschraub Auslass 8 mm 45°",((0.404576162682549+253.786329000746*U$19)/(1 + 0.847653701692911*U$19 + 46.1112262126323*U$19^2))/1.548,IF($J87="Einschraub Auslass 10 mm 45°",(0.404576162682549+253.786329000746*U$19)/(1 + 0.847653701692911*U$19 + 46.1112262126323*U$19^2),IF($J87="Einschraub Auslass 13 mm 45°",(5.58084941372331+341.135964926462*U$19)/(1 + -10.1477119185299*U$19 + 109.902265064484*U$19^2))))</f>
        <v>11.3106474463697</v>
      </c>
      <c r="AK87">
        <f>IF($J87="Einschraub Auslass 8 mm 45°",((0.404576162682549+253.786329000746*V$19)/(1 + 0.847653701692911*V$19 + 46.1112262126323*V$19^2))/1.548,IF($J87="Einschraub Auslass 10 mm 45°",(0.404576162682549+253.786329000746*V$19)/(1 + 0.847653701692911*V$19 + 46.1112262126323*V$19^2),IF($J87="Einschraub Auslass 13 mm 45°",(5.58084941372331+341.135964926462*V$19)/(1 + -10.1477119185299*V$19 + 109.902265064484*V$19^2))))</f>
        <v>12.261502044280544</v>
      </c>
      <c r="AL87">
        <f>IF($J87="Einschraub Auslass 8 mm 45°",((0.404576162682549+253.786329000746*W$19)/(1 + 0.847653701692911*W$19 + 46.1112262126323*W$19^2))/1.548,IF($J87="Einschraub Auslass 10 mm 45°",(0.404576162682549+253.786329000746*W$19)/(1 + 0.847653701692911*W$19 + 46.1112262126323*W$19^2),IF($J87="Einschraub Auslass 13 mm 45°",(5.58084941372331+341.135964926462*W$19)/(1 + -10.1477119185299*W$19 + 109.902265064484*W$19^2))))</f>
        <v>13.123474328967411</v>
      </c>
      <c r="AM87">
        <f>IF($J87="Einschraub Auslass 8 mm 45°",((0.404576162682549+253.786329000746*X$19)/(1 + 0.847653701692911*X$19 + 46.1112262126323*X$19^2))/1.548,IF($J87="Einschraub Auslass 10 mm 45°",(0.404576162682549+253.786329000746*X$19)/(1 + 0.847653701692911*X$19 + 46.1112262126323*X$19^2),IF($J87="Einschraub Auslass 13 mm 45°",(5.58084941372331+341.135964926462*X$19)/(1 + -10.1477119185299*X$19 + 109.902265064484*X$19^2))))</f>
        <v>13.897725747900429</v>
      </c>
      <c r="AN87">
        <f>IF($J87="Einschraub Auslass 8 mm 45°",((0.404576162682549+253.786329000746*Y$19)/(1 + 0.847653701692911*Y$19 + 46.1112262126323*Y$19^2))/1.548,IF($J87="Einschraub Auslass 10 mm 45°",(0.404576162682549+253.786329000746*Y$19)/(1 + 0.847653701692911*Y$19 + 46.1112262126323*Y$19^2),IF($J87="Einschraub Auslass 13 mm 45°",(5.58084941372331+341.135964926462*Y$19)/(1 + -10.1477119185299*Y$19 + 109.902265064484*Y$19^2))))</f>
        <v>14.586607192370131</v>
      </c>
      <c r="AQ87">
        <v>64</v>
      </c>
      <c r="AR87" s="14">
        <v>4.6478951052405346</v>
      </c>
      <c r="AS87" s="13">
        <f t="shared" si="16"/>
        <v>45499.859863959158</v>
      </c>
      <c r="AT87" s="9">
        <v>3.6025707667177005</v>
      </c>
      <c r="AU87" s="13">
        <f t="shared" si="17"/>
        <v>35266.816768483935</v>
      </c>
    </row>
    <row r="88" spans="1:47" x14ac:dyDescent="0.35">
      <c r="A88">
        <f t="shared" ref="A88:A151" si="26">AQ88*B$16*B$17</f>
        <v>65</v>
      </c>
      <c r="B88" s="13">
        <f t="shared" ref="B88:B151" si="27">IF(B$14="DDC-1T+",AS88*B$15*B$17^2,AU88*B$15*B$17^2)</f>
        <v>45482.243378099003</v>
      </c>
      <c r="F88">
        <f t="shared" ref="F88:F151" si="28">AQ88*G$16*G$17</f>
        <v>65</v>
      </c>
      <c r="G88" s="13">
        <f t="shared" ref="G88:G151" si="29">IF(G$14="DDC-1T+",AS88*G$15*G$17^2,AU88*G$15*G$17^2)</f>
        <v>35247.398101552128</v>
      </c>
      <c r="I88" s="1">
        <v>18</v>
      </c>
      <c r="J88" t="s">
        <v>35</v>
      </c>
      <c r="K88">
        <f t="shared" si="25"/>
        <v>10</v>
      </c>
      <c r="L88" s="4" t="s">
        <v>12</v>
      </c>
      <c r="M88" s="1">
        <v>0</v>
      </c>
      <c r="N88" s="10">
        <f>IF(N$19*1000^2/($M$16*($K88/2000)^2*PI())*($K88/1000)/$O$16&lt;2320,(64*52.5*1000*$M$16*(N$19/($M$16*($K88/2000)^2*PI()))^2)/((N$19*1000^2/($M$16*($K88/2000)^2*PI())*($K88/1000)/$O$16)*1000*$K88*2)*AC88,(0.3164*52.5*1000*$M$16*(N$19/($M$16*($K88/2000)^2*PI()))^2)/(((N$19*1000^2/($M$16*($K88/2000)^2*PI())*($K88/1000)/$O$16))^0.25*1000*$K88*2)*AC88)</f>
        <v>2.9883828589616455</v>
      </c>
      <c r="O88" s="10">
        <f>IF(O$19*1000^2/($M$16*($K88/2000)^2*PI())*($K88/1000)/$O$16&lt;2320,(64*52.5*1000*$M$16*(O$19/($M$16*($K88/2000)^2*PI()))^2)/((O$19*1000^2/($M$16*($K88/2000)^2*PI())*($K88/1000)/$O$16)*1000*$K88*2)*AD88,(0.3164*52.5*1000*$M$16*(O$19/($M$16*($K88/2000)^2*PI()))^2)/(((O$19*1000^2/($M$16*($K88/2000)^2*PI())*($K88/1000)/$O$16))^0.25*1000*$K88*2)*AD88)</f>
        <v>14.589460185945743</v>
      </c>
      <c r="P88" s="10">
        <f>IF(P$19*1000^2/($M$16*($K88/2000)^2*PI())*($K88/1000)/$O$16&lt;2320,(64*52.5*1000*$M$16*(P$19/($M$16*($K88/2000)^2*PI()))^2)/((P$19*1000^2/($M$16*($K88/2000)^2*PI())*($K88/1000)/$O$16)*1000*$K88*2)*AE88,(0.3164*52.5*1000*$M$16*(P$19/($M$16*($K88/2000)^2*PI()))^2)/(((P$19*1000^2/($M$16*($K88/2000)^2*PI())*($K88/1000)/$O$16))^0.25*1000*$K88*2)*AE88)</f>
        <v>37.185202343531635</v>
      </c>
      <c r="Q88" s="10">
        <f>IF(Q$19*1000^2/($M$16*($K88/2000)^2*PI())*($K88/1000)/$O$16&lt;2320,(64*52.5*1000*$M$16*(Q$19/($M$16*($K88/2000)^2*PI()))^2)/((Q$19*1000^2/($M$16*($K88/2000)^2*PI())*($K88/1000)/$O$16)*1000*$K88*2)*AF88,(0.3164*52.5*1000*$M$16*(Q$19/($M$16*($K88/2000)^2*PI()))^2)/(((Q$19*1000^2/($M$16*($K88/2000)^2*PI())*($K88/1000)/$O$16))^0.25*1000*$K88*2)*AF88)</f>
        <v>73.933959456578194</v>
      </c>
      <c r="R88" s="10">
        <f>IF(R$19*1000^2/($M$16*($K88/2000)^2*PI())*($K88/1000)/$O$16&lt;2320,(64*52.5*1000*$M$16*(R$19/($M$16*($K88/2000)^2*PI()))^2)/((R$19*1000^2/($M$16*($K88/2000)^2*PI())*($K88/1000)/$O$16)*1000*$K88*2)*AG88,(0.3164*52.5*1000*$M$16*(R$19/($M$16*($K88/2000)^2*PI()))^2)/(((R$19*1000^2/($M$16*($K88/2000)^2*PI())*($K88/1000)/$O$16))^0.25*1000*$K88*2)*AG88)</f>
        <v>126.90298616901575</v>
      </c>
      <c r="S88" s="10">
        <f>IF(S$19*1000^2/($M$16*($K88/2000)^2*PI())*($K88/1000)/$O$16&lt;2320,(64*52.5*1000*$M$16*(S$19/($M$16*($K88/2000)^2*PI()))^2)/((S$19*1000^2/($M$16*($K88/2000)^2*PI())*($K88/1000)/$O$16)*1000*$K88*2)*AH88,(0.3164*52.5*1000*$M$16*(S$19/($M$16*($K88/2000)^2*PI()))^2)/(((S$19*1000^2/($M$16*($K88/2000)^2*PI())*($K88/1000)/$O$16))^0.25*1000*$K88*2)*AH88)</f>
        <v>197.54864281744443</v>
      </c>
      <c r="T88" s="10">
        <f>IF(T$19*1000^2/($M$16*($K88/2000)^2*PI())*($K88/1000)/$O$16&lt;2320,(64*52.5*1000*$M$16*(T$19/($M$16*($K88/2000)^2*PI()))^2)/((T$19*1000^2/($M$16*($K88/2000)^2*PI())*($K88/1000)/$O$16)*1000*$K88*2)*AI88,(0.3164*52.5*1000*$M$16*(T$19/($M$16*($K88/2000)^2*PI()))^2)/(((T$19*1000^2/($M$16*($K88/2000)^2*PI())*($K88/1000)/$O$16))^0.25*1000*$K88*2)*AI88)</f>
        <v>286.76915001241917</v>
      </c>
      <c r="U88" s="10">
        <f>IF(U$19*1000^2/($M$16*($K88/2000)^2*PI())*($K88/1000)/$O$16&lt;2320,(64*52.5*1000*$M$16*(U$19/($M$16*($K88/2000)^2*PI()))^2)/((U$19*1000^2/($M$16*($K88/2000)^2*PI())*($K88/1000)/$O$16)*1000*$K88*2)*AJ88,(0.3164*52.5*1000*$M$16*(U$19/($M$16*($K88/2000)^2*PI()))^2)/(((U$19*1000^2/($M$16*($K88/2000)^2*PI())*($K88/1000)/$O$16))^0.25*1000*$K88*2)*AJ88)</f>
        <v>394.96191370163172</v>
      </c>
      <c r="V88" s="10">
        <f>IF(V$19*1000^2/($M$16*($K88/2000)^2*PI())*($K88/1000)/$O$16&lt;2320,(64*52.5*1000*$M$16*(V$19/($M$16*($K88/2000)^2*PI()))^2)/((V$19*1000^2/($M$16*($K88/2000)^2*PI())*($K88/1000)/$O$16)*1000*$K88*2)*AK88,(0.3164*52.5*1000*$M$16*(V$19/($M$16*($K88/2000)^2*PI()))^2)/(((V$19*1000^2/($M$16*($K88/2000)^2*PI())*($K88/1000)/$O$16))^0.25*1000*$K88*2)*AK88)</f>
        <v>522.08710585348069</v>
      </c>
      <c r="W88" s="10">
        <f>IF(W$19*1000^2/($M$16*($K88/2000)^2*PI())*($K88/1000)/$O$16&lt;2320,(64*52.5*1000*$M$16*(W$19/($M$16*($K88/2000)^2*PI()))^2)/((W$19*1000^2/($M$16*($K88/2000)^2*PI())*($K88/1000)/$O$16)*1000*$K88*2)*AL88,(0.3164*52.5*1000*$M$16*(W$19/($M$16*($K88/2000)^2*PI()))^2)/(((W$19*1000^2/($M$16*($K88/2000)^2*PI())*($K88/1000)/$O$16))^0.25*1000*$K88*2)*AL88)</f>
        <v>667.73559527423981</v>
      </c>
      <c r="X88" s="10">
        <f>IF(X$19*1000^2/($M$16*($K88/2000)^2*PI())*($K88/1000)/$O$16&lt;2320,(64*52.5*1000*$M$16*(X$19/($M$16*($K88/2000)^2*PI()))^2)/((X$19*1000^2/($M$16*($K88/2000)^2*PI())*($K88/1000)/$O$16)*1000*$K88*2)*AM88,(0.3164*52.5*1000*$M$16*(X$19/($M$16*($K88/2000)^2*PI()))^2)/(((X$19*1000^2/($M$16*($K88/2000)^2*PI())*($K88/1000)/$O$16))^0.25*1000*$K88*2)*AM88)</f>
        <v>831.19817264221149</v>
      </c>
      <c r="Y88" s="10">
        <f>IF(Y$19*1000^2/($M$16*($K88/2000)^2*PI())*($K88/1000)/$O$16&lt;2320,(64*52.5*1000*$M$16*(Y$19/($M$16*($K88/2000)^2*PI()))^2)/((Y$19*1000^2/($M$16*($K88/2000)^2*PI())*($K88/1000)/$O$16)*1000*$K88*2)*AN88,(0.3164*52.5*1000*$M$16*(Y$19/($M$16*($K88/2000)^2*PI()))^2)/(((Y$19*1000^2/($M$16*($K88/2000)^2*PI())*($K88/1000)/$O$16))^0.25*1000*$K88*2)*AN88)</f>
        <v>1011.5329697800428</v>
      </c>
      <c r="AB88">
        <f>IF($J88="Einschraub Auslass 8 mm 45°",((0.404576162682549+253.786329000746*M$19)/(1 + 0.847653701692911*M$19 + 46.1112262126323*M$19^2))/1.548,IF($J88="Einschraub Auslass 10 mm 45°",(0.404576162682549+253.786329000746*M$19)/(1 + 0.847653701692911*M$19 + 46.1112262126323*M$19^2),IF($J88="Einschraub Auslass 13 mm 45°",(5.58084941372331+341.135964926462*M$19)/(1 + -10.1477119185299*M$19 + 109.902265064484*M$19^2))))</f>
        <v>0.40457616268254898</v>
      </c>
      <c r="AC88">
        <f>IF($J88="Einschraub Auslass 8 mm 45°",((0.404576162682549+253.786329000746*N$19)/(1 + 0.847653701692911*N$19 + 46.1112262126323*N$19^2))/1.548,IF($J88="Einschraub Auslass 10 mm 45°",(0.404576162682549+253.786329000746*N$19)/(1 + 0.847653701692911*N$19 + 46.1112262126323*N$19^2),IF($J88="Einschraub Auslass 13 mm 45°",(5.58084941372331+341.135964926462*N$19)/(1 + -10.1477119185299*N$19 + 109.902265064484*N$19^2))))</f>
        <v>2.4113982277496704</v>
      </c>
      <c r="AD88">
        <f>IF($J88="Einschraub Auslass 8 mm 45°",((0.404576162682549+253.786329000746*O$19)/(1 + 0.847653701692911*O$19 + 46.1112262126323*O$19^2))/1.548,IF($J88="Einschraub Auslass 10 mm 45°",(0.404576162682549+253.786329000746*O$19)/(1 + 0.847653701692911*O$19 + 46.1112262126323*O$19^2),IF($J88="Einschraub Auslass 13 mm 45°",(5.58084941372331+341.135964926462*O$19)/(1 + -10.1477119185299*O$19 + 109.902265064484*O$19^2))))</f>
        <v>3.8765457649258313</v>
      </c>
      <c r="AE88">
        <f>IF($J88="Einschraub Auslass 8 mm 45°",((0.404576162682549+253.786329000746*P$19)/(1 + 0.847653701692911*P$19 + 46.1112262126323*P$19^2))/1.548,IF($J88="Einschraub Auslass 10 mm 45°",(0.404576162682549+253.786329000746*P$19)/(1 + 0.847653701692911*P$19 + 46.1112262126323*P$19^2),IF($J88="Einschraub Auslass 13 mm 45°",(5.58084941372331+341.135964926462*P$19)/(1 + -10.1477119185299*P$19 + 109.902265064484*P$19^2))))</f>
        <v>5.2929453675543909</v>
      </c>
      <c r="AF88">
        <f>IF($J88="Einschraub Auslass 8 mm 45°",((0.404576162682549+253.786329000746*Q$19)/(1 + 0.847653701692911*Q$19 + 46.1112262126323*Q$19^2))/1.548,IF($J88="Einschraub Auslass 10 mm 45°",(0.404576162682549+253.786329000746*Q$19)/(1 + 0.847653701692911*Q$19 + 46.1112262126323*Q$19^2),IF($J88="Einschraub Auslass 13 mm 45°",(5.58084941372331+341.135964926462*Q$19)/(1 + -10.1477119185299*Q$19 + 109.902265064484*Q$19^2))))</f>
        <v>6.6492147677180897</v>
      </c>
      <c r="AG88">
        <f>IF($J88="Einschraub Auslass 8 mm 45°",((0.404576162682549+253.786329000746*R$19)/(1 + 0.847653701692911*R$19 + 46.1112262126323*R$19^2))/1.548,IF($J88="Einschraub Auslass 10 mm 45°",(0.404576162682549+253.786329000746*R$19)/(1 + 0.847653701692911*R$19 + 46.1112262126323*R$19^2),IF($J88="Einschraub Auslass 13 mm 45°",(5.58084941372331+341.135964926462*R$19)/(1 + -10.1477119185299*R$19 + 109.902265064484*R$19^2))))</f>
        <v>7.935771132681781</v>
      </c>
      <c r="AH88">
        <f>IF($J88="Einschraub Auslass 8 mm 45°",((0.404576162682549+253.786329000746*S$19)/(1 + 0.847653701692911*S$19 + 46.1112262126323*S$19^2))/1.548,IF($J88="Einschraub Auslass 10 mm 45°",(0.404576162682549+253.786329000746*S$19)/(1 + 0.847653701692911*S$19 + 46.1112262126323*S$19^2),IF($J88="Einschraub Auslass 13 mm 45°",(5.58084941372331+341.135964926462*S$19)/(1 + -10.1477119185299*S$19 + 109.902265064484*S$19^2))))</f>
        <v>9.1449747563860555</v>
      </c>
      <c r="AI88">
        <f>IF($J88="Einschraub Auslass 8 mm 45°",((0.404576162682549+253.786329000746*T$19)/(1 + 0.847653701692911*T$19 + 46.1112262126323*T$19^2))/1.548,IF($J88="Einschraub Auslass 10 mm 45°",(0.404576162682549+253.786329000746*T$19)/(1 + 0.847653701692911*T$19 + 46.1112262126323*T$19^2),IF($J88="Einschraub Auslass 13 mm 45°",(5.58084941372331+341.135964926462*T$19)/(1 + -10.1477119185299*T$19 + 109.902265064484*T$19^2))))</f>
        <v>10.271171952548343</v>
      </c>
      <c r="AJ88">
        <f>IF($J88="Einschraub Auslass 8 mm 45°",((0.404576162682549+253.786329000746*U$19)/(1 + 0.847653701692911*U$19 + 46.1112262126323*U$19^2))/1.548,IF($J88="Einschraub Auslass 10 mm 45°",(0.404576162682549+253.786329000746*U$19)/(1 + 0.847653701692911*U$19 + 46.1112262126323*U$19^2),IF($J88="Einschraub Auslass 13 mm 45°",(5.58084941372331+341.135964926462*U$19)/(1 + -10.1477119185299*U$19 + 109.902265064484*U$19^2))))</f>
        <v>11.3106474463697</v>
      </c>
      <c r="AK88">
        <f>IF($J88="Einschraub Auslass 8 mm 45°",((0.404576162682549+253.786329000746*V$19)/(1 + 0.847653701692911*V$19 + 46.1112262126323*V$19^2))/1.548,IF($J88="Einschraub Auslass 10 mm 45°",(0.404576162682549+253.786329000746*V$19)/(1 + 0.847653701692911*V$19 + 46.1112262126323*V$19^2),IF($J88="Einschraub Auslass 13 mm 45°",(5.58084941372331+341.135964926462*V$19)/(1 + -10.1477119185299*V$19 + 109.902265064484*V$19^2))))</f>
        <v>12.261502044280544</v>
      </c>
      <c r="AL88">
        <f>IF($J88="Einschraub Auslass 8 mm 45°",((0.404576162682549+253.786329000746*W$19)/(1 + 0.847653701692911*W$19 + 46.1112262126323*W$19^2))/1.548,IF($J88="Einschraub Auslass 10 mm 45°",(0.404576162682549+253.786329000746*W$19)/(1 + 0.847653701692911*W$19 + 46.1112262126323*W$19^2),IF($J88="Einschraub Auslass 13 mm 45°",(5.58084941372331+341.135964926462*W$19)/(1 + -10.1477119185299*W$19 + 109.902265064484*W$19^2))))</f>
        <v>13.123474328967411</v>
      </c>
      <c r="AM88">
        <f>IF($J88="Einschraub Auslass 8 mm 45°",((0.404576162682549+253.786329000746*X$19)/(1 + 0.847653701692911*X$19 + 46.1112262126323*X$19^2))/1.548,IF($J88="Einschraub Auslass 10 mm 45°",(0.404576162682549+253.786329000746*X$19)/(1 + 0.847653701692911*X$19 + 46.1112262126323*X$19^2),IF($J88="Einschraub Auslass 13 mm 45°",(5.58084941372331+341.135964926462*X$19)/(1 + -10.1477119185299*X$19 + 109.902265064484*X$19^2))))</f>
        <v>13.897725747900429</v>
      </c>
      <c r="AN88">
        <f>IF($J88="Einschraub Auslass 8 mm 45°",((0.404576162682549+253.786329000746*Y$19)/(1 + 0.847653701692911*Y$19 + 46.1112262126323*Y$19^2))/1.548,IF($J88="Einschraub Auslass 10 mm 45°",(0.404576162682549+253.786329000746*Y$19)/(1 + 0.847653701692911*Y$19 + 46.1112262126323*Y$19^2),IF($J88="Einschraub Auslass 13 mm 45°",(5.58084941372331+341.135964926462*Y$19)/(1 + -10.1477119185299*Y$19 + 109.902265064484*Y$19^2))))</f>
        <v>14.586607192370131</v>
      </c>
      <c r="AQ88">
        <v>65</v>
      </c>
      <c r="AR88" s="14">
        <v>4.6460955485244089</v>
      </c>
      <c r="AS88" s="13">
        <f t="shared" ref="AS88:AS151" si="30">AR88*998.2*9.807</f>
        <v>45482.243378099003</v>
      </c>
      <c r="AT88" s="9">
        <v>3.600587113861351</v>
      </c>
      <c r="AU88" s="13">
        <f t="shared" ref="AU88:AU151" si="31">AT88*998.2*9.807</f>
        <v>35247.398101552128</v>
      </c>
    </row>
    <row r="89" spans="1:47" x14ac:dyDescent="0.35">
      <c r="A89">
        <f t="shared" si="26"/>
        <v>66</v>
      </c>
      <c r="B89" s="13">
        <f t="shared" si="27"/>
        <v>45464.301399416203</v>
      </c>
      <c r="F89">
        <f t="shared" si="28"/>
        <v>66</v>
      </c>
      <c r="G89" s="13">
        <f t="shared" si="29"/>
        <v>35227.889599839793</v>
      </c>
      <c r="I89" s="1">
        <v>19</v>
      </c>
      <c r="J89" t="s">
        <v>36</v>
      </c>
      <c r="K89">
        <f>IF(J89="Winkel 8 mm 90°",8,IF(J89="Winkel 10 mm 90°",10,IF(J89="Winkel 13 mm 90°",13)))</f>
        <v>10</v>
      </c>
      <c r="L89" s="4" t="s">
        <v>12</v>
      </c>
      <c r="M89" s="1">
        <v>0</v>
      </c>
      <c r="N89" s="10">
        <f>IF(N$19*1000^2/($M$16*($K89/2000)^2*PI())*($K89/1000)/$O$16&lt;2320,(64*52.5*1000*$M$16*(N$19/($M$16*($K89/2000)^2*PI()))^2)/((N$19*1000^2/($M$16*($K89/2000)^2*PI())*($K89/1000)/$O$16)*1000*$K89*2)*AC89,(0.3164*52.5*1000*$M$16*(N$19/($M$16*($K89/2000)^2*PI()))^2)/(((N$19*1000^2/($M$16*($K89/2000)^2*PI())*($K89/1000)/$O$16))^0.25*1000*$K89*2)*AC89)</f>
        <v>35.306913089701261</v>
      </c>
      <c r="O89" s="10">
        <f>IF(O$19*1000^2/($M$16*($K89/2000)^2*PI())*($K89/1000)/$O$16&lt;2320,(64*52.5*1000*$M$16*(O$19/($M$16*($K89/2000)^2*PI()))^2)/((O$19*1000^2/($M$16*($K89/2000)^2*PI())*($K89/1000)/$O$16)*1000*$K89*2)*AD89,(0.3164*52.5*1000*$M$16*(O$19/($M$16*($K89/2000)^2*PI()))^2)/(((O$19*1000^2/($M$16*($K89/2000)^2*PI())*($K89/1000)/$O$16))^0.25*1000*$K89*2)*AD89)</f>
        <v>140.14221718374867</v>
      </c>
      <c r="P89" s="10">
        <f>IF(P$19*1000^2/($M$16*($K89/2000)^2*PI())*($K89/1000)/$O$16&lt;2320,(64*52.5*1000*$M$16*(P$19/($M$16*($K89/2000)^2*PI()))^2)/((P$19*1000^2/($M$16*($K89/2000)^2*PI())*($K89/1000)/$O$16)*1000*$K89*2)*AE89,(0.3164*52.5*1000*$M$16*(P$19/($M$16*($K89/2000)^2*PI()))^2)/(((P$19*1000^2/($M$16*($K89/2000)^2*PI())*($K89/1000)/$O$16))^0.25*1000*$K89*2)*AE89)</f>
        <v>297.57411205038517</v>
      </c>
      <c r="Q89" s="10">
        <f>IF(Q$19*1000^2/($M$16*($K89/2000)^2*PI())*($K89/1000)/$O$16&lt;2320,(64*52.5*1000*$M$16*(Q$19/($M$16*($K89/2000)^2*PI()))^2)/((Q$19*1000^2/($M$16*($K89/2000)^2*PI())*($K89/1000)/$O$16)*1000*$K89*2)*AF89,(0.3164*52.5*1000*$M$16*(Q$19/($M$16*($K89/2000)^2*PI()))^2)/(((Q$19*1000^2/($M$16*($K89/2000)^2*PI())*($K89/1000)/$O$16))^0.25*1000*$K89*2)*AF89)</f>
        <v>509.03704905951304</v>
      </c>
      <c r="R89" s="10">
        <f>IF(R$19*1000^2/($M$16*($K89/2000)^2*PI())*($K89/1000)/$O$16&lt;2320,(64*52.5*1000*$M$16*(R$19/($M$16*($K89/2000)^2*PI()))^2)/((R$19*1000^2/($M$16*($K89/2000)^2*PI())*($K89/1000)/$O$16)*1000*$K89*2)*AG89,(0.3164*52.5*1000*$M$16*(R$19/($M$16*($K89/2000)^2*PI()))^2)/(((R$19*1000^2/($M$16*($K89/2000)^2*PI())*($K89/1000)/$O$16))^0.25*1000*$K89*2)*AG89)</f>
        <v>771.97461697034032</v>
      </c>
      <c r="S89" s="10">
        <f>IF(S$19*1000^2/($M$16*($K89/2000)^2*PI())*($K89/1000)/$O$16&lt;2320,(64*52.5*1000*$M$16*(S$19/($M$16*($K89/2000)^2*PI()))^2)/((S$19*1000^2/($M$16*($K89/2000)^2*PI())*($K89/1000)/$O$16)*1000*$K89*2)*AH89,(0.3164*52.5*1000*$M$16*(S$19/($M$16*($K89/2000)^2*PI()))^2)/(((S$19*1000^2/($M$16*($K89/2000)^2*PI())*($K89/1000)/$O$16))^0.25*1000*$K89*2)*AH89)</f>
        <v>1084.5671150688522</v>
      </c>
      <c r="T89" s="10">
        <f>IF(T$19*1000^2/($M$16*($K89/2000)^2*PI())*($K89/1000)/$O$16&lt;2320,(64*52.5*1000*$M$16*(T$19/($M$16*($K89/2000)^2*PI()))^2)/((T$19*1000^2/($M$16*($K89/2000)^2*PI())*($K89/1000)/$O$16)*1000*$K89*2)*AI89,(0.3164*52.5*1000*$M$16*(T$19/($M$16*($K89/2000)^2*PI()))^2)/(((T$19*1000^2/($M$16*($K89/2000)^2*PI())*($K89/1000)/$O$16))^0.25*1000*$K89*2)*AI89)</f>
        <v>1445.5057852246116</v>
      </c>
      <c r="U89" s="10">
        <f>IF(U$19*1000^2/($M$16*($K89/2000)^2*PI())*($K89/1000)/$O$16&lt;2320,(64*52.5*1000*$M$16*(U$19/($M$16*($K89/2000)^2*PI()))^2)/((U$19*1000^2/($M$16*($K89/2000)^2*PI())*($K89/1000)/$O$16)*1000*$K89*2)*AJ89,(0.3164*52.5*1000*$M$16*(U$19/($M$16*($K89/2000)^2*PI()))^2)/(((U$19*1000^2/($M$16*($K89/2000)^2*PI())*($K89/1000)/$O$16))^0.25*1000*$K89*2)*AJ89)</f>
        <v>1853.8434729666224</v>
      </c>
      <c r="V89" s="10">
        <f>IF(V$19*1000^2/($M$16*($K89/2000)^2*PI())*($K89/1000)/$O$16&lt;2320,(64*52.5*1000*$M$16*(V$19/($M$16*($K89/2000)^2*PI()))^2)/((V$19*1000^2/($M$16*($K89/2000)^2*PI())*($K89/1000)/$O$16)*1000*$K89*2)*AK89,(0.3164*52.5*1000*$M$16*(V$19/($M$16*($K89/2000)^2*PI()))^2)/(((V$19*1000^2/($M$16*($K89/2000)^2*PI())*($K89/1000)/$O$16))^0.25*1000*$K89*2)*AK89)</f>
        <v>2308.8980513668066</v>
      </c>
      <c r="W89" s="10">
        <f>IF(W$19*1000^2/($M$16*($K89/2000)^2*PI())*($K89/1000)/$O$16&lt;2320,(64*52.5*1000*$M$16*(W$19/($M$16*($K89/2000)^2*PI()))^2)/((W$19*1000^2/($M$16*($K89/2000)^2*PI())*($K89/1000)/$O$16)*1000*$K89*2)*AL89,(0.3164*52.5*1000*$M$16*(W$19/($M$16*($K89/2000)^2*PI()))^2)/(((W$19*1000^2/($M$16*($K89/2000)^2*PI())*($K89/1000)/$O$16))^0.25*1000*$K89*2)*AL89)</f>
        <v>2810.1884468351495</v>
      </c>
      <c r="X89" s="10">
        <f>IF(X$19*1000^2/($M$16*($K89/2000)^2*PI())*($K89/1000)/$O$16&lt;2320,(64*52.5*1000*$M$16*(X$19/($M$16*($K89/2000)^2*PI()))^2)/((X$19*1000^2/($M$16*($K89/2000)^2*PI())*($K89/1000)/$O$16)*1000*$K89*2)*AM89,(0.3164*52.5*1000*$M$16*(X$19/($M$16*($K89/2000)^2*PI()))^2)/(((X$19*1000^2/($M$16*($K89/2000)^2*PI())*($K89/1000)/$O$16))^0.25*1000*$K89*2)*AM89)</f>
        <v>3357.3909095260683</v>
      </c>
      <c r="Y89" s="10">
        <f>IF(Y$19*1000^2/($M$16*($K89/2000)^2*PI())*($K89/1000)/$O$16&lt;2320,(64*52.5*1000*$M$16*(Y$19/($M$16*($K89/2000)^2*PI()))^2)/((Y$19*1000^2/($M$16*($K89/2000)^2*PI())*($K89/1000)/$O$16)*1000*$K89*2)*AN89,(0.3164*52.5*1000*$M$16*(Y$19/($M$16*($K89/2000)^2*PI()))^2)/(((Y$19*1000^2/($M$16*($K89/2000)^2*PI())*($K89/1000)/$O$16))^0.25*1000*$K89*2)*AN89)</f>
        <v>3950.3082091307401</v>
      </c>
      <c r="AB89">
        <f>IF($J89="Winkel 8 mm 90°",(4.52968504201887+929.452518773881*M$19)/(1 + 16.7117091450414*M$19 + 82.2554423109011*M$19^2),IF($J89="Winkel 10 mm 90°",(-3.20672717836386+7540.5630264938*M$19)/(1 + 126.514314854795*M$19 + -113.72718942959*M$19^2),IF($J89="Winkel 13 mm 90°",135.984681342664 - 145.535559326006*EXP(-31.4269790056058*M$19^0.811196726205011))))</f>
        <v>-3.20672717836386</v>
      </c>
      <c r="AC89">
        <f>IF($J89="Winkel 8 mm 90°",(4.52968504201887+929.452518773881*N$19)/(1 + 16.7117091450414*N$19 + 82.2554423109011*N$19^2),IF($J89="Winkel 10 mm 90°",(-3.20672717836386+7540.5630264938*N$19)/(1 + 126.514314854795*N$19 + -113.72718942959*N$19^2),IF($J89="Winkel 13 mm 90°",135.984681342664 - 145.535559326006*EXP(-31.4269790056058*N$19^0.811196726205011))))</f>
        <v>28.489999999999995</v>
      </c>
      <c r="AD89">
        <f>IF($J89="Winkel 8 mm 90°",(4.52968504201887+929.452518773881*O$19)/(1 + 16.7117091450414*O$19 + 82.2554423109011*O$19^2),IF($J89="Winkel 10 mm 90°",(-3.20672717836386+7540.5630264938*O$19)/(1 + 126.514314854795*O$19 + -113.72718942959*O$19^2),IF($J89="Winkel 13 mm 90°",135.984681342664 - 145.535559326006*EXP(-31.4269790056058*O$19^0.811196726205011))))</f>
        <v>37.236999284888917</v>
      </c>
      <c r="AE89">
        <f>IF($J89="Winkel 8 mm 90°",(4.52968504201887+929.452518773881*P$19)/(1 + 16.7117091450414*P$19 + 82.2554423109011*P$19^2),IF($J89="Winkel 10 mm 90°",(-3.20672717836386+7540.5630264938*P$19)/(1 + 126.514314854795*P$19 + -113.72718942959*P$19^2),IF($J89="Winkel 13 mm 90°",135.984681342664 - 145.535559326006*EXP(-31.4269790056058*P$19^0.811196726205011))))</f>
        <v>42.35672844617924</v>
      </c>
      <c r="AF89">
        <f>IF($J89="Winkel 8 mm 90°",(4.52968504201887+929.452518773881*Q$19)/(1 + 16.7117091450414*Q$19 + 82.2554423109011*Q$19^2),IF($J89="Winkel 10 mm 90°",(-3.20672717836386+7540.5630264938*Q$19)/(1 + 126.514314854795*Q$19 + -113.72718942959*Q$19^2),IF($J89="Winkel 13 mm 90°",135.984681342664 - 145.535559326006*EXP(-31.4269790056058*Q$19^0.811196726205011))))</f>
        <v>45.78000000000003</v>
      </c>
      <c r="AG89">
        <f>IF($J89="Winkel 8 mm 90°",(4.52968504201887+929.452518773881*R$19)/(1 + 16.7117091450414*R$19 + 82.2554423109011*R$19^2),IF($J89="Winkel 10 mm 90°",(-3.20672717836386+7540.5630264938*R$19)/(1 + 126.514314854795*R$19 + -113.72718942959*R$19^2),IF($J89="Winkel 13 mm 90°",135.984681342664 - 145.535559326006*EXP(-31.4269790056058*R$19^0.811196726205011))))</f>
        <v>48.274781117893504</v>
      </c>
      <c r="AH89">
        <f>IF($J89="Winkel 8 mm 90°",(4.52968504201887+929.452518773881*S$19)/(1 + 16.7117091450414*S$19 + 82.2554423109011*S$19^2),IF($J89="Winkel 10 mm 90°",(-3.20672717836386+7540.5630264938*S$19)/(1 + 126.514314854795*S$19 + -113.72718942959*S$19^2),IF($J89="Winkel 13 mm 90°",135.984681342664 - 145.535559326006*EXP(-31.4269790056058*S$19^0.811196726205011))))</f>
        <v>50.207071774604316</v>
      </c>
      <c r="AI89">
        <f>IF($J89="Winkel 8 mm 90°",(4.52968504201887+929.452518773881*T$19)/(1 + 16.7117091450414*T$19 + 82.2554423109011*T$19^2),IF($J89="Winkel 10 mm 90°",(-3.20672717836386+7540.5630264938*T$19)/(1 + 126.514314854795*T$19 + -113.72718942959*T$19^2),IF($J89="Winkel 13 mm 90°",135.984681342664 - 145.535559326006*EXP(-31.4269790056058*T$19^0.811196726205011))))</f>
        <v>51.773485668881797</v>
      </c>
      <c r="AJ89">
        <f>IF($J89="Winkel 8 mm 90°",(4.52968504201887+929.452518773881*U$19)/(1 + 16.7117091450414*U$19 + 82.2554423109011*U$19^2),IF($J89="Winkel 10 mm 90°",(-3.20672717836386+7540.5630264938*U$19)/(1 + 126.514314854795*U$19 + -113.72718942959*U$19^2),IF($J89="Winkel 13 mm 90°",135.984681342664 - 145.535559326006*EXP(-31.4269790056058*U$19^0.811196726205011))))</f>
        <v>53.089093444385036</v>
      </c>
      <c r="AK89">
        <f>IF($J89="Winkel 8 mm 90°",(4.52968504201887+929.452518773881*V$19)/(1 + 16.7117091450414*V$19 + 82.2554423109011*V$19^2),IF($J89="Winkel 10 mm 90°",(-3.20672717836386+7540.5630264938*V$19)/(1 + 126.514314854795*V$19 + -113.72718942959*V$19^2),IF($J89="Winkel 13 mm 90°",135.984681342664 - 145.535559326006*EXP(-31.4269790056058*V$19^0.811196726205011))))</f>
        <v>54.225737160447281</v>
      </c>
      <c r="AL89">
        <f>IF($J89="Winkel 8 mm 90°",(4.52968504201887+929.452518773881*W$19)/(1 + 16.7117091450414*W$19 + 82.2554423109011*W$19^2),IF($J89="Winkel 10 mm 90°",(-3.20672717836386+7540.5630264938*W$19)/(1 + 126.514314854795*W$19 + -113.72718942959*W$19^2),IF($J89="Winkel 13 mm 90°",135.984681342664 - 145.535559326006*EXP(-31.4269790056058*W$19^0.811196726205011))))</f>
        <v>55.2305975637789</v>
      </c>
      <c r="AM89">
        <f>IF($J89="Winkel 8 mm 90°",(4.52968504201887+929.452518773881*X$19)/(1 + 16.7117091450414*X$19 + 82.2554423109011*X$19^2),IF($J89="Winkel 10 mm 90°",(-3.20672717836386+7540.5630264938*X$19)/(1 + 126.514314854795*X$19 + -113.72718942959*X$19^2),IF($J89="Winkel 13 mm 90°",135.984681342664 - 145.535559326006*EXP(-31.4269790056058*X$19^0.811196726205011))))</f>
        <v>56.13594883247184</v>
      </c>
      <c r="AN89">
        <f>IF($J89="Winkel 8 mm 90°",(4.52968504201887+929.452518773881*Y$19)/(1 + 16.7117091450414*Y$19 + 82.2554423109011*Y$19^2),IF($J89="Winkel 10 mm 90°",(-3.20672717836386+7540.5630264938*Y$19)/(1 + 126.514314854795*Y$19 + -113.72718942959*Y$19^2),IF($J89="Winkel 13 mm 90°",135.984681342664 - 145.535559326006*EXP(-31.4269790056058*Y$19^0.811196726205011))))</f>
        <v>56.964622861393245</v>
      </c>
      <c r="AQ89">
        <v>66</v>
      </c>
      <c r="AR89" s="14">
        <v>4.6442627421125335</v>
      </c>
      <c r="AS89" s="13">
        <f t="shared" si="30"/>
        <v>45464.301399416203</v>
      </c>
      <c r="AT89" s="9">
        <v>3.5985942842154923</v>
      </c>
      <c r="AU89" s="13">
        <f t="shared" si="31"/>
        <v>35227.889599839793</v>
      </c>
    </row>
    <row r="90" spans="1:47" x14ac:dyDescent="0.35">
      <c r="A90">
        <f t="shared" si="26"/>
        <v>67</v>
      </c>
      <c r="B90" s="13">
        <f t="shared" si="27"/>
        <v>45446.032982314166</v>
      </c>
      <c r="F90">
        <f t="shared" si="28"/>
        <v>67</v>
      </c>
      <c r="G90" s="13">
        <f t="shared" si="29"/>
        <v>35208.292218382594</v>
      </c>
      <c r="I90" s="1">
        <v>20</v>
      </c>
      <c r="J90" t="s">
        <v>36</v>
      </c>
      <c r="K90">
        <f t="shared" ref="K90:K91" si="32">IF(J90="Winkel 8 mm 90°",8,IF(J90="Winkel 10 mm 90°",10,IF(J90="Winkel 13 mm 90°",13)))</f>
        <v>10</v>
      </c>
      <c r="L90" s="4" t="s">
        <v>12</v>
      </c>
      <c r="M90" s="1">
        <v>0</v>
      </c>
      <c r="N90" s="10">
        <f>IF(N$19*1000^2/($M$16*($K90/2000)^2*PI())*($K90/1000)/$O$16&lt;2320,(64*52.5*1000*$M$16*(N$19/($M$16*($K90/2000)^2*PI()))^2)/((N$19*1000^2/($M$16*($K90/2000)^2*PI())*($K90/1000)/$O$16)*1000*$K90*2)*AC90,(0.3164*52.5*1000*$M$16*(N$19/($M$16*($K90/2000)^2*PI()))^2)/(((N$19*1000^2/($M$16*($K90/2000)^2*PI())*($K90/1000)/$O$16))^0.25*1000*$K90*2)*AC90)</f>
        <v>35.306913089701261</v>
      </c>
      <c r="O90" s="10">
        <f>IF(O$19*1000^2/($M$16*($K90/2000)^2*PI())*($K90/1000)/$O$16&lt;2320,(64*52.5*1000*$M$16*(O$19/($M$16*($K90/2000)^2*PI()))^2)/((O$19*1000^2/($M$16*($K90/2000)^2*PI())*($K90/1000)/$O$16)*1000*$K90*2)*AD90,(0.3164*52.5*1000*$M$16*(O$19/($M$16*($K90/2000)^2*PI()))^2)/(((O$19*1000^2/($M$16*($K90/2000)^2*PI())*($K90/1000)/$O$16))^0.25*1000*$K90*2)*AD90)</f>
        <v>140.14221718374867</v>
      </c>
      <c r="P90" s="10">
        <f>IF(P$19*1000^2/($M$16*($K90/2000)^2*PI())*($K90/1000)/$O$16&lt;2320,(64*52.5*1000*$M$16*(P$19/($M$16*($K90/2000)^2*PI()))^2)/((P$19*1000^2/($M$16*($K90/2000)^2*PI())*($K90/1000)/$O$16)*1000*$K90*2)*AE90,(0.3164*52.5*1000*$M$16*(P$19/($M$16*($K90/2000)^2*PI()))^2)/(((P$19*1000^2/($M$16*($K90/2000)^2*PI())*($K90/1000)/$O$16))^0.25*1000*$K90*2)*AE90)</f>
        <v>297.57411205038517</v>
      </c>
      <c r="Q90" s="10">
        <f>IF(Q$19*1000^2/($M$16*($K90/2000)^2*PI())*($K90/1000)/$O$16&lt;2320,(64*52.5*1000*$M$16*(Q$19/($M$16*($K90/2000)^2*PI()))^2)/((Q$19*1000^2/($M$16*($K90/2000)^2*PI())*($K90/1000)/$O$16)*1000*$K90*2)*AF90,(0.3164*52.5*1000*$M$16*(Q$19/($M$16*($K90/2000)^2*PI()))^2)/(((Q$19*1000^2/($M$16*($K90/2000)^2*PI())*($K90/1000)/$O$16))^0.25*1000*$K90*2)*AF90)</f>
        <v>509.03704905951304</v>
      </c>
      <c r="R90" s="10">
        <f>IF(R$19*1000^2/($M$16*($K90/2000)^2*PI())*($K90/1000)/$O$16&lt;2320,(64*52.5*1000*$M$16*(R$19/($M$16*($K90/2000)^2*PI()))^2)/((R$19*1000^2/($M$16*($K90/2000)^2*PI())*($K90/1000)/$O$16)*1000*$K90*2)*AG90,(0.3164*52.5*1000*$M$16*(R$19/($M$16*($K90/2000)^2*PI()))^2)/(((R$19*1000^2/($M$16*($K90/2000)^2*PI())*($K90/1000)/$O$16))^0.25*1000*$K90*2)*AG90)</f>
        <v>771.97461697034032</v>
      </c>
      <c r="S90" s="10">
        <f>IF(S$19*1000^2/($M$16*($K90/2000)^2*PI())*($K90/1000)/$O$16&lt;2320,(64*52.5*1000*$M$16*(S$19/($M$16*($K90/2000)^2*PI()))^2)/((S$19*1000^2/($M$16*($K90/2000)^2*PI())*($K90/1000)/$O$16)*1000*$K90*2)*AH90,(0.3164*52.5*1000*$M$16*(S$19/($M$16*($K90/2000)^2*PI()))^2)/(((S$19*1000^2/($M$16*($K90/2000)^2*PI())*($K90/1000)/$O$16))^0.25*1000*$K90*2)*AH90)</f>
        <v>1084.5671150688522</v>
      </c>
      <c r="T90" s="10">
        <f>IF(T$19*1000^2/($M$16*($K90/2000)^2*PI())*($K90/1000)/$O$16&lt;2320,(64*52.5*1000*$M$16*(T$19/($M$16*($K90/2000)^2*PI()))^2)/((T$19*1000^2/($M$16*($K90/2000)^2*PI())*($K90/1000)/$O$16)*1000*$K90*2)*AI90,(0.3164*52.5*1000*$M$16*(T$19/($M$16*($K90/2000)^2*PI()))^2)/(((T$19*1000^2/($M$16*($K90/2000)^2*PI())*($K90/1000)/$O$16))^0.25*1000*$K90*2)*AI90)</f>
        <v>1445.5057852246116</v>
      </c>
      <c r="U90" s="10">
        <f>IF(U$19*1000^2/($M$16*($K90/2000)^2*PI())*($K90/1000)/$O$16&lt;2320,(64*52.5*1000*$M$16*(U$19/($M$16*($K90/2000)^2*PI()))^2)/((U$19*1000^2/($M$16*($K90/2000)^2*PI())*($K90/1000)/$O$16)*1000*$K90*2)*AJ90,(0.3164*52.5*1000*$M$16*(U$19/($M$16*($K90/2000)^2*PI()))^2)/(((U$19*1000^2/($M$16*($K90/2000)^2*PI())*($K90/1000)/$O$16))^0.25*1000*$K90*2)*AJ90)</f>
        <v>1853.8434729666224</v>
      </c>
      <c r="V90" s="10">
        <f>IF(V$19*1000^2/($M$16*($K90/2000)^2*PI())*($K90/1000)/$O$16&lt;2320,(64*52.5*1000*$M$16*(V$19/($M$16*($K90/2000)^2*PI()))^2)/((V$19*1000^2/($M$16*($K90/2000)^2*PI())*($K90/1000)/$O$16)*1000*$K90*2)*AK90,(0.3164*52.5*1000*$M$16*(V$19/($M$16*($K90/2000)^2*PI()))^2)/(((V$19*1000^2/($M$16*($K90/2000)^2*PI())*($K90/1000)/$O$16))^0.25*1000*$K90*2)*AK90)</f>
        <v>2308.8980513668066</v>
      </c>
      <c r="W90" s="10">
        <f>IF(W$19*1000^2/($M$16*($K90/2000)^2*PI())*($K90/1000)/$O$16&lt;2320,(64*52.5*1000*$M$16*(W$19/($M$16*($K90/2000)^2*PI()))^2)/((W$19*1000^2/($M$16*($K90/2000)^2*PI())*($K90/1000)/$O$16)*1000*$K90*2)*AL90,(0.3164*52.5*1000*$M$16*(W$19/($M$16*($K90/2000)^2*PI()))^2)/(((W$19*1000^2/($M$16*($K90/2000)^2*PI())*($K90/1000)/$O$16))^0.25*1000*$K90*2)*AL90)</f>
        <v>2810.1884468351495</v>
      </c>
      <c r="X90" s="10">
        <f>IF(X$19*1000^2/($M$16*($K90/2000)^2*PI())*($K90/1000)/$O$16&lt;2320,(64*52.5*1000*$M$16*(X$19/($M$16*($K90/2000)^2*PI()))^2)/((X$19*1000^2/($M$16*($K90/2000)^2*PI())*($K90/1000)/$O$16)*1000*$K90*2)*AM90,(0.3164*52.5*1000*$M$16*(X$19/($M$16*($K90/2000)^2*PI()))^2)/(((X$19*1000^2/($M$16*($K90/2000)^2*PI())*($K90/1000)/$O$16))^0.25*1000*$K90*2)*AM90)</f>
        <v>3357.3909095260683</v>
      </c>
      <c r="Y90" s="10">
        <f>IF(Y$19*1000^2/($M$16*($K90/2000)^2*PI())*($K90/1000)/$O$16&lt;2320,(64*52.5*1000*$M$16*(Y$19/($M$16*($K90/2000)^2*PI()))^2)/((Y$19*1000^2/($M$16*($K90/2000)^2*PI())*($K90/1000)/$O$16)*1000*$K90*2)*AN90,(0.3164*52.5*1000*$M$16*(Y$19/($M$16*($K90/2000)^2*PI()))^2)/(((Y$19*1000^2/($M$16*($K90/2000)^2*PI())*($K90/1000)/$O$16))^0.25*1000*$K90*2)*AN90)</f>
        <v>3950.3082091307401</v>
      </c>
      <c r="AB90">
        <f>IF($J90="Winkel 8 mm 90°",(4.52968504201887+929.452518773881*M$19)/(1 + 16.7117091450414*M$19 + 82.2554423109011*M$19^2),IF($J90="Winkel 10 mm 90°",(-3.20672717836386+7540.5630264938*M$19)/(1 + 126.514314854795*M$19 + -113.72718942959*M$19^2),IF($J90="Winkel 13 mm 90°",135.984681342664 - 145.535559326006*EXP(-31.4269790056058*M$19^0.811196726205011))))</f>
        <v>-3.20672717836386</v>
      </c>
      <c r="AC90">
        <f>IF($J90="Winkel 8 mm 90°",(4.52968504201887+929.452518773881*N$19)/(1 + 16.7117091450414*N$19 + 82.2554423109011*N$19^2),IF($J90="Winkel 10 mm 90°",(-3.20672717836386+7540.5630264938*N$19)/(1 + 126.514314854795*N$19 + -113.72718942959*N$19^2),IF($J90="Winkel 13 mm 90°",135.984681342664 - 145.535559326006*EXP(-31.4269790056058*N$19^0.811196726205011))))</f>
        <v>28.489999999999995</v>
      </c>
      <c r="AD90">
        <f>IF($J90="Winkel 8 mm 90°",(4.52968504201887+929.452518773881*O$19)/(1 + 16.7117091450414*O$19 + 82.2554423109011*O$19^2),IF($J90="Winkel 10 mm 90°",(-3.20672717836386+7540.5630264938*O$19)/(1 + 126.514314854795*O$19 + -113.72718942959*O$19^2),IF($J90="Winkel 13 mm 90°",135.984681342664 - 145.535559326006*EXP(-31.4269790056058*O$19^0.811196726205011))))</f>
        <v>37.236999284888917</v>
      </c>
      <c r="AE90">
        <f>IF($J90="Winkel 8 mm 90°",(4.52968504201887+929.452518773881*P$19)/(1 + 16.7117091450414*P$19 + 82.2554423109011*P$19^2),IF($J90="Winkel 10 mm 90°",(-3.20672717836386+7540.5630264938*P$19)/(1 + 126.514314854795*P$19 + -113.72718942959*P$19^2),IF($J90="Winkel 13 mm 90°",135.984681342664 - 145.535559326006*EXP(-31.4269790056058*P$19^0.811196726205011))))</f>
        <v>42.35672844617924</v>
      </c>
      <c r="AF90">
        <f>IF($J90="Winkel 8 mm 90°",(4.52968504201887+929.452518773881*Q$19)/(1 + 16.7117091450414*Q$19 + 82.2554423109011*Q$19^2),IF($J90="Winkel 10 mm 90°",(-3.20672717836386+7540.5630264938*Q$19)/(1 + 126.514314854795*Q$19 + -113.72718942959*Q$19^2),IF($J90="Winkel 13 mm 90°",135.984681342664 - 145.535559326006*EXP(-31.4269790056058*Q$19^0.811196726205011))))</f>
        <v>45.78000000000003</v>
      </c>
      <c r="AG90">
        <f>IF($J90="Winkel 8 mm 90°",(4.52968504201887+929.452518773881*R$19)/(1 + 16.7117091450414*R$19 + 82.2554423109011*R$19^2),IF($J90="Winkel 10 mm 90°",(-3.20672717836386+7540.5630264938*R$19)/(1 + 126.514314854795*R$19 + -113.72718942959*R$19^2),IF($J90="Winkel 13 mm 90°",135.984681342664 - 145.535559326006*EXP(-31.4269790056058*R$19^0.811196726205011))))</f>
        <v>48.274781117893504</v>
      </c>
      <c r="AH90">
        <f>IF($J90="Winkel 8 mm 90°",(4.52968504201887+929.452518773881*S$19)/(1 + 16.7117091450414*S$19 + 82.2554423109011*S$19^2),IF($J90="Winkel 10 mm 90°",(-3.20672717836386+7540.5630264938*S$19)/(1 + 126.514314854795*S$19 + -113.72718942959*S$19^2),IF($J90="Winkel 13 mm 90°",135.984681342664 - 145.535559326006*EXP(-31.4269790056058*S$19^0.811196726205011))))</f>
        <v>50.207071774604316</v>
      </c>
      <c r="AI90">
        <f>IF($J90="Winkel 8 mm 90°",(4.52968504201887+929.452518773881*T$19)/(1 + 16.7117091450414*T$19 + 82.2554423109011*T$19^2),IF($J90="Winkel 10 mm 90°",(-3.20672717836386+7540.5630264938*T$19)/(1 + 126.514314854795*T$19 + -113.72718942959*T$19^2),IF($J90="Winkel 13 mm 90°",135.984681342664 - 145.535559326006*EXP(-31.4269790056058*T$19^0.811196726205011))))</f>
        <v>51.773485668881797</v>
      </c>
      <c r="AJ90">
        <f>IF($J90="Winkel 8 mm 90°",(4.52968504201887+929.452518773881*U$19)/(1 + 16.7117091450414*U$19 + 82.2554423109011*U$19^2),IF($J90="Winkel 10 mm 90°",(-3.20672717836386+7540.5630264938*U$19)/(1 + 126.514314854795*U$19 + -113.72718942959*U$19^2),IF($J90="Winkel 13 mm 90°",135.984681342664 - 145.535559326006*EXP(-31.4269790056058*U$19^0.811196726205011))))</f>
        <v>53.089093444385036</v>
      </c>
      <c r="AK90">
        <f>IF($J90="Winkel 8 mm 90°",(4.52968504201887+929.452518773881*V$19)/(1 + 16.7117091450414*V$19 + 82.2554423109011*V$19^2),IF($J90="Winkel 10 mm 90°",(-3.20672717836386+7540.5630264938*V$19)/(1 + 126.514314854795*V$19 + -113.72718942959*V$19^2),IF($J90="Winkel 13 mm 90°",135.984681342664 - 145.535559326006*EXP(-31.4269790056058*V$19^0.811196726205011))))</f>
        <v>54.225737160447281</v>
      </c>
      <c r="AL90">
        <f>IF($J90="Winkel 8 mm 90°",(4.52968504201887+929.452518773881*W$19)/(1 + 16.7117091450414*W$19 + 82.2554423109011*W$19^2),IF($J90="Winkel 10 mm 90°",(-3.20672717836386+7540.5630264938*W$19)/(1 + 126.514314854795*W$19 + -113.72718942959*W$19^2),IF($J90="Winkel 13 mm 90°",135.984681342664 - 145.535559326006*EXP(-31.4269790056058*W$19^0.811196726205011))))</f>
        <v>55.2305975637789</v>
      </c>
      <c r="AM90">
        <f>IF($J90="Winkel 8 mm 90°",(4.52968504201887+929.452518773881*X$19)/(1 + 16.7117091450414*X$19 + 82.2554423109011*X$19^2),IF($J90="Winkel 10 mm 90°",(-3.20672717836386+7540.5630264938*X$19)/(1 + 126.514314854795*X$19 + -113.72718942959*X$19^2),IF($J90="Winkel 13 mm 90°",135.984681342664 - 145.535559326006*EXP(-31.4269790056058*X$19^0.811196726205011))))</f>
        <v>56.13594883247184</v>
      </c>
      <c r="AN90">
        <f>IF($J90="Winkel 8 mm 90°",(4.52968504201887+929.452518773881*Y$19)/(1 + 16.7117091450414*Y$19 + 82.2554423109011*Y$19^2),IF($J90="Winkel 10 mm 90°",(-3.20672717836386+7540.5630264938*Y$19)/(1 + 126.514314854795*Y$19 + -113.72718942959*Y$19^2),IF($J90="Winkel 13 mm 90°",135.984681342664 - 145.535559326006*EXP(-31.4269790056058*Y$19^0.811196726205011))))</f>
        <v>56.964622861393245</v>
      </c>
      <c r="AQ90">
        <v>67</v>
      </c>
      <c r="AR90" s="14">
        <v>4.6423965894104606</v>
      </c>
      <c r="AS90" s="13">
        <f t="shared" si="30"/>
        <v>45446.032982314166</v>
      </c>
      <c r="AT90" s="9">
        <v>3.5965923753387883</v>
      </c>
      <c r="AU90" s="13">
        <f t="shared" si="31"/>
        <v>35208.292218382594</v>
      </c>
    </row>
    <row r="91" spans="1:47" x14ac:dyDescent="0.35">
      <c r="A91">
        <f t="shared" si="26"/>
        <v>68</v>
      </c>
      <c r="B91" s="13">
        <f t="shared" si="27"/>
        <v>45427.437192731828</v>
      </c>
      <c r="F91">
        <f t="shared" si="28"/>
        <v>68</v>
      </c>
      <c r="G91" s="13">
        <f t="shared" si="29"/>
        <v>35188.606887926711</v>
      </c>
      <c r="I91" s="1">
        <v>21</v>
      </c>
      <c r="J91" t="s">
        <v>36</v>
      </c>
      <c r="K91">
        <f t="shared" si="32"/>
        <v>10</v>
      </c>
      <c r="L91" s="4" t="s">
        <v>12</v>
      </c>
      <c r="M91" s="1">
        <v>0</v>
      </c>
      <c r="N91" s="10">
        <f>IF(N$19*1000^2/($M$16*($K91/2000)^2*PI())*($K91/1000)/$O$16&lt;2320,(64*52.5*1000*$M$16*(N$19/($M$16*($K91/2000)^2*PI()))^2)/((N$19*1000^2/($M$16*($K91/2000)^2*PI())*($K91/1000)/$O$16)*1000*$K91*2)*AC91,(0.3164*52.5*1000*$M$16*(N$19/($M$16*($K91/2000)^2*PI()))^2)/(((N$19*1000^2/($M$16*($K91/2000)^2*PI())*($K91/1000)/$O$16))^0.25*1000*$K91*2)*AC91)</f>
        <v>35.306913089701261</v>
      </c>
      <c r="O91" s="10">
        <f>IF(O$19*1000^2/($M$16*($K91/2000)^2*PI())*($K91/1000)/$O$16&lt;2320,(64*52.5*1000*$M$16*(O$19/($M$16*($K91/2000)^2*PI()))^2)/((O$19*1000^2/($M$16*($K91/2000)^2*PI())*($K91/1000)/$O$16)*1000*$K91*2)*AD91,(0.3164*52.5*1000*$M$16*(O$19/($M$16*($K91/2000)^2*PI()))^2)/(((O$19*1000^2/($M$16*($K91/2000)^2*PI())*($K91/1000)/$O$16))^0.25*1000*$K91*2)*AD91)</f>
        <v>140.14221718374867</v>
      </c>
      <c r="P91" s="10">
        <f>IF(P$19*1000^2/($M$16*($K91/2000)^2*PI())*($K91/1000)/$O$16&lt;2320,(64*52.5*1000*$M$16*(P$19/($M$16*($K91/2000)^2*PI()))^2)/((P$19*1000^2/($M$16*($K91/2000)^2*PI())*($K91/1000)/$O$16)*1000*$K91*2)*AE91,(0.3164*52.5*1000*$M$16*(P$19/($M$16*($K91/2000)^2*PI()))^2)/(((P$19*1000^2/($M$16*($K91/2000)^2*PI())*($K91/1000)/$O$16))^0.25*1000*$K91*2)*AE91)</f>
        <v>297.57411205038517</v>
      </c>
      <c r="Q91" s="10">
        <f>IF(Q$19*1000^2/($M$16*($K91/2000)^2*PI())*($K91/1000)/$O$16&lt;2320,(64*52.5*1000*$M$16*(Q$19/($M$16*($K91/2000)^2*PI()))^2)/((Q$19*1000^2/($M$16*($K91/2000)^2*PI())*($K91/1000)/$O$16)*1000*$K91*2)*AF91,(0.3164*52.5*1000*$M$16*(Q$19/($M$16*($K91/2000)^2*PI()))^2)/(((Q$19*1000^2/($M$16*($K91/2000)^2*PI())*($K91/1000)/$O$16))^0.25*1000*$K91*2)*AF91)</f>
        <v>509.03704905951304</v>
      </c>
      <c r="R91" s="10">
        <f>IF(R$19*1000^2/($M$16*($K91/2000)^2*PI())*($K91/1000)/$O$16&lt;2320,(64*52.5*1000*$M$16*(R$19/($M$16*($K91/2000)^2*PI()))^2)/((R$19*1000^2/($M$16*($K91/2000)^2*PI())*($K91/1000)/$O$16)*1000*$K91*2)*AG91,(0.3164*52.5*1000*$M$16*(R$19/($M$16*($K91/2000)^2*PI()))^2)/(((R$19*1000^2/($M$16*($K91/2000)^2*PI())*($K91/1000)/$O$16))^0.25*1000*$K91*2)*AG91)</f>
        <v>771.97461697034032</v>
      </c>
      <c r="S91" s="10">
        <f>IF(S$19*1000^2/($M$16*($K91/2000)^2*PI())*($K91/1000)/$O$16&lt;2320,(64*52.5*1000*$M$16*(S$19/($M$16*($K91/2000)^2*PI()))^2)/((S$19*1000^2/($M$16*($K91/2000)^2*PI())*($K91/1000)/$O$16)*1000*$K91*2)*AH91,(0.3164*52.5*1000*$M$16*(S$19/($M$16*($K91/2000)^2*PI()))^2)/(((S$19*1000^2/($M$16*($K91/2000)^2*PI())*($K91/1000)/$O$16))^0.25*1000*$K91*2)*AH91)</f>
        <v>1084.5671150688522</v>
      </c>
      <c r="T91" s="10">
        <f>IF(T$19*1000^2/($M$16*($K91/2000)^2*PI())*($K91/1000)/$O$16&lt;2320,(64*52.5*1000*$M$16*(T$19/($M$16*($K91/2000)^2*PI()))^2)/((T$19*1000^2/($M$16*($K91/2000)^2*PI())*($K91/1000)/$O$16)*1000*$K91*2)*AI91,(0.3164*52.5*1000*$M$16*(T$19/($M$16*($K91/2000)^2*PI()))^2)/(((T$19*1000^2/($M$16*($K91/2000)^2*PI())*($K91/1000)/$O$16))^0.25*1000*$K91*2)*AI91)</f>
        <v>1445.5057852246116</v>
      </c>
      <c r="U91" s="10">
        <f>IF(U$19*1000^2/($M$16*($K91/2000)^2*PI())*($K91/1000)/$O$16&lt;2320,(64*52.5*1000*$M$16*(U$19/($M$16*($K91/2000)^2*PI()))^2)/((U$19*1000^2/($M$16*($K91/2000)^2*PI())*($K91/1000)/$O$16)*1000*$K91*2)*AJ91,(0.3164*52.5*1000*$M$16*(U$19/($M$16*($K91/2000)^2*PI()))^2)/(((U$19*1000^2/($M$16*($K91/2000)^2*PI())*($K91/1000)/$O$16))^0.25*1000*$K91*2)*AJ91)</f>
        <v>1853.8434729666224</v>
      </c>
      <c r="V91" s="10">
        <f>IF(V$19*1000^2/($M$16*($K91/2000)^2*PI())*($K91/1000)/$O$16&lt;2320,(64*52.5*1000*$M$16*(V$19/($M$16*($K91/2000)^2*PI()))^2)/((V$19*1000^2/($M$16*($K91/2000)^2*PI())*($K91/1000)/$O$16)*1000*$K91*2)*AK91,(0.3164*52.5*1000*$M$16*(V$19/($M$16*($K91/2000)^2*PI()))^2)/(((V$19*1000^2/($M$16*($K91/2000)^2*PI())*($K91/1000)/$O$16))^0.25*1000*$K91*2)*AK91)</f>
        <v>2308.8980513668066</v>
      </c>
      <c r="W91" s="10">
        <f>IF(W$19*1000^2/($M$16*($K91/2000)^2*PI())*($K91/1000)/$O$16&lt;2320,(64*52.5*1000*$M$16*(W$19/($M$16*($K91/2000)^2*PI()))^2)/((W$19*1000^2/($M$16*($K91/2000)^2*PI())*($K91/1000)/$O$16)*1000*$K91*2)*AL91,(0.3164*52.5*1000*$M$16*(W$19/($M$16*($K91/2000)^2*PI()))^2)/(((W$19*1000^2/($M$16*($K91/2000)^2*PI())*($K91/1000)/$O$16))^0.25*1000*$K91*2)*AL91)</f>
        <v>2810.1884468351495</v>
      </c>
      <c r="X91" s="10">
        <f>IF(X$19*1000^2/($M$16*($K91/2000)^2*PI())*($K91/1000)/$O$16&lt;2320,(64*52.5*1000*$M$16*(X$19/($M$16*($K91/2000)^2*PI()))^2)/((X$19*1000^2/($M$16*($K91/2000)^2*PI())*($K91/1000)/$O$16)*1000*$K91*2)*AM91,(0.3164*52.5*1000*$M$16*(X$19/($M$16*($K91/2000)^2*PI()))^2)/(((X$19*1000^2/($M$16*($K91/2000)^2*PI())*($K91/1000)/$O$16))^0.25*1000*$K91*2)*AM91)</f>
        <v>3357.3909095260683</v>
      </c>
      <c r="Y91" s="10">
        <f>IF(Y$19*1000^2/($M$16*($K91/2000)^2*PI())*($K91/1000)/$O$16&lt;2320,(64*52.5*1000*$M$16*(Y$19/($M$16*($K91/2000)^2*PI()))^2)/((Y$19*1000^2/($M$16*($K91/2000)^2*PI())*($K91/1000)/$O$16)*1000*$K91*2)*AN91,(0.3164*52.5*1000*$M$16*(Y$19/($M$16*($K91/2000)^2*PI()))^2)/(((Y$19*1000^2/($M$16*($K91/2000)^2*PI())*($K91/1000)/$O$16))^0.25*1000*$K91*2)*AN91)</f>
        <v>3950.3082091307401</v>
      </c>
      <c r="AB91">
        <f>IF($J91="Winkel 8 mm 90°",(4.52968504201887+929.452518773881*M$19)/(1 + 16.7117091450414*M$19 + 82.2554423109011*M$19^2),IF($J91="Winkel 10 mm 90°",(-3.20672717836386+7540.5630264938*M$19)/(1 + 126.514314854795*M$19 + -113.72718942959*M$19^2),IF($J91="Winkel 13 mm 90°",135.984681342664 - 145.535559326006*EXP(-31.4269790056058*M$19^0.811196726205011))))</f>
        <v>-3.20672717836386</v>
      </c>
      <c r="AC91">
        <f>IF($J91="Winkel 8 mm 90°",(4.52968504201887+929.452518773881*N$19)/(1 + 16.7117091450414*N$19 + 82.2554423109011*N$19^2),IF($J91="Winkel 10 mm 90°",(-3.20672717836386+7540.5630264938*N$19)/(1 + 126.514314854795*N$19 + -113.72718942959*N$19^2),IF($J91="Winkel 13 mm 90°",135.984681342664 - 145.535559326006*EXP(-31.4269790056058*N$19^0.811196726205011))))</f>
        <v>28.489999999999995</v>
      </c>
      <c r="AD91">
        <f>IF($J91="Winkel 8 mm 90°",(4.52968504201887+929.452518773881*O$19)/(1 + 16.7117091450414*O$19 + 82.2554423109011*O$19^2),IF($J91="Winkel 10 mm 90°",(-3.20672717836386+7540.5630264938*O$19)/(1 + 126.514314854795*O$19 + -113.72718942959*O$19^2),IF($J91="Winkel 13 mm 90°",135.984681342664 - 145.535559326006*EXP(-31.4269790056058*O$19^0.811196726205011))))</f>
        <v>37.236999284888917</v>
      </c>
      <c r="AE91">
        <f>IF($J91="Winkel 8 mm 90°",(4.52968504201887+929.452518773881*P$19)/(1 + 16.7117091450414*P$19 + 82.2554423109011*P$19^2),IF($J91="Winkel 10 mm 90°",(-3.20672717836386+7540.5630264938*P$19)/(1 + 126.514314854795*P$19 + -113.72718942959*P$19^2),IF($J91="Winkel 13 mm 90°",135.984681342664 - 145.535559326006*EXP(-31.4269790056058*P$19^0.811196726205011))))</f>
        <v>42.35672844617924</v>
      </c>
      <c r="AF91">
        <f>IF($J91="Winkel 8 mm 90°",(4.52968504201887+929.452518773881*Q$19)/(1 + 16.7117091450414*Q$19 + 82.2554423109011*Q$19^2),IF($J91="Winkel 10 mm 90°",(-3.20672717836386+7540.5630264938*Q$19)/(1 + 126.514314854795*Q$19 + -113.72718942959*Q$19^2),IF($J91="Winkel 13 mm 90°",135.984681342664 - 145.535559326006*EXP(-31.4269790056058*Q$19^0.811196726205011))))</f>
        <v>45.78000000000003</v>
      </c>
      <c r="AG91">
        <f>IF($J91="Winkel 8 mm 90°",(4.52968504201887+929.452518773881*R$19)/(1 + 16.7117091450414*R$19 + 82.2554423109011*R$19^2),IF($J91="Winkel 10 mm 90°",(-3.20672717836386+7540.5630264938*R$19)/(1 + 126.514314854795*R$19 + -113.72718942959*R$19^2),IF($J91="Winkel 13 mm 90°",135.984681342664 - 145.535559326006*EXP(-31.4269790056058*R$19^0.811196726205011))))</f>
        <v>48.274781117893504</v>
      </c>
      <c r="AH91">
        <f>IF($J91="Winkel 8 mm 90°",(4.52968504201887+929.452518773881*S$19)/(1 + 16.7117091450414*S$19 + 82.2554423109011*S$19^2),IF($J91="Winkel 10 mm 90°",(-3.20672717836386+7540.5630264938*S$19)/(1 + 126.514314854795*S$19 + -113.72718942959*S$19^2),IF($J91="Winkel 13 mm 90°",135.984681342664 - 145.535559326006*EXP(-31.4269790056058*S$19^0.811196726205011))))</f>
        <v>50.207071774604316</v>
      </c>
      <c r="AI91">
        <f>IF($J91="Winkel 8 mm 90°",(4.52968504201887+929.452518773881*T$19)/(1 + 16.7117091450414*T$19 + 82.2554423109011*T$19^2),IF($J91="Winkel 10 mm 90°",(-3.20672717836386+7540.5630264938*T$19)/(1 + 126.514314854795*T$19 + -113.72718942959*T$19^2),IF($J91="Winkel 13 mm 90°",135.984681342664 - 145.535559326006*EXP(-31.4269790056058*T$19^0.811196726205011))))</f>
        <v>51.773485668881797</v>
      </c>
      <c r="AJ91">
        <f>IF($J91="Winkel 8 mm 90°",(4.52968504201887+929.452518773881*U$19)/(1 + 16.7117091450414*U$19 + 82.2554423109011*U$19^2),IF($J91="Winkel 10 mm 90°",(-3.20672717836386+7540.5630264938*U$19)/(1 + 126.514314854795*U$19 + -113.72718942959*U$19^2),IF($J91="Winkel 13 mm 90°",135.984681342664 - 145.535559326006*EXP(-31.4269790056058*U$19^0.811196726205011))))</f>
        <v>53.089093444385036</v>
      </c>
      <c r="AK91">
        <f>IF($J91="Winkel 8 mm 90°",(4.52968504201887+929.452518773881*V$19)/(1 + 16.7117091450414*V$19 + 82.2554423109011*V$19^2),IF($J91="Winkel 10 mm 90°",(-3.20672717836386+7540.5630264938*V$19)/(1 + 126.514314854795*V$19 + -113.72718942959*V$19^2),IF($J91="Winkel 13 mm 90°",135.984681342664 - 145.535559326006*EXP(-31.4269790056058*V$19^0.811196726205011))))</f>
        <v>54.225737160447281</v>
      </c>
      <c r="AL91">
        <f>IF($J91="Winkel 8 mm 90°",(4.52968504201887+929.452518773881*W$19)/(1 + 16.7117091450414*W$19 + 82.2554423109011*W$19^2),IF($J91="Winkel 10 mm 90°",(-3.20672717836386+7540.5630264938*W$19)/(1 + 126.514314854795*W$19 + -113.72718942959*W$19^2),IF($J91="Winkel 13 mm 90°",135.984681342664 - 145.535559326006*EXP(-31.4269790056058*W$19^0.811196726205011))))</f>
        <v>55.2305975637789</v>
      </c>
      <c r="AM91">
        <f>IF($J91="Winkel 8 mm 90°",(4.52968504201887+929.452518773881*X$19)/(1 + 16.7117091450414*X$19 + 82.2554423109011*X$19^2),IF($J91="Winkel 10 mm 90°",(-3.20672717836386+7540.5630264938*X$19)/(1 + 126.514314854795*X$19 + -113.72718942959*X$19^2),IF($J91="Winkel 13 mm 90°",135.984681342664 - 145.535559326006*EXP(-31.4269790056058*X$19^0.811196726205011))))</f>
        <v>56.13594883247184</v>
      </c>
      <c r="AN91">
        <f>IF($J91="Winkel 8 mm 90°",(4.52968504201887+929.452518773881*Y$19)/(1 + 16.7117091450414*Y$19 + 82.2554423109011*Y$19^2),IF($J91="Winkel 10 mm 90°",(-3.20672717836386+7540.5630264938*Y$19)/(1 + 126.514314854795*Y$19 + -113.72718942959*Y$19^2),IF($J91="Winkel 13 mm 90°",135.984681342664 - 145.535559326006*EXP(-31.4269790056058*Y$19^0.811196726205011))))</f>
        <v>56.964622861393245</v>
      </c>
      <c r="AQ91">
        <v>68</v>
      </c>
      <c r="AR91" s="14">
        <v>4.6404969950021213</v>
      </c>
      <c r="AS91" s="13">
        <f t="shared" si="30"/>
        <v>45427.437192731828</v>
      </c>
      <c r="AT91" s="9">
        <v>3.5945814823086888</v>
      </c>
      <c r="AU91" s="13">
        <f t="shared" si="31"/>
        <v>35188.606887926711</v>
      </c>
    </row>
    <row r="92" spans="1:47" x14ac:dyDescent="0.35">
      <c r="A92">
        <f t="shared" si="26"/>
        <v>69</v>
      </c>
      <c r="B92" s="13">
        <f t="shared" si="27"/>
        <v>45408.513107833889</v>
      </c>
      <c r="F92">
        <f t="shared" si="28"/>
        <v>69</v>
      </c>
      <c r="G92" s="13">
        <f t="shared" si="29"/>
        <v>35168.834515895578</v>
      </c>
      <c r="I92" s="1">
        <v>22</v>
      </c>
      <c r="J92" t="s">
        <v>37</v>
      </c>
      <c r="K92">
        <f>IF(J92="Winkel 8 mm 45°",8,IF(J92="Winkel 10 mm 45°",10,IF(J92="Winkel 13 mm 45°",13)))</f>
        <v>10</v>
      </c>
      <c r="L92" s="4" t="s">
        <v>12</v>
      </c>
      <c r="M92" s="1">
        <v>0</v>
      </c>
      <c r="N92" s="10">
        <f>IF(N$19*1000^2/($M$16*($K92/2000)^2*PI())*($K92/1000)/$O$16&lt;2320,(64*52.5*1000*$M$16*(N$19/($M$16*($K92/2000)^2*PI()))^2)/((N$19*1000^2/($M$16*($K92/2000)^2*PI())*($K92/1000)/$O$16)*1000*$K92*2)*AC92,(0.3164*52.5*1000*$M$16*(N$19/($M$16*($K92/2000)^2*PI()))^2)/(((N$19*1000^2/($M$16*($K92/2000)^2*PI())*($K92/1000)/$O$16))^0.25*1000*$K92*2)*AC92)</f>
        <v>14.203705425906548</v>
      </c>
      <c r="O92" s="10">
        <f>IF(O$19*1000^2/($M$16*($K92/2000)^2*PI())*($K92/1000)/$O$16&lt;2320,(64*52.5*1000*$M$16*(O$19/($M$16*($K92/2000)^2*PI()))^2)/((O$19*1000^2/($M$16*($K92/2000)^2*PI())*($K92/1000)/$O$16)*1000*$K92*2)*AD92,(0.3164*52.5*1000*$M$16*(O$19/($M$16*($K92/2000)^2*PI()))^2)/(((O$19*1000^2/($M$16*($K92/2000)^2*PI())*($K92/1000)/$O$16))^0.25*1000*$K92*2)*AD92)</f>
        <v>53.248210933140015</v>
      </c>
      <c r="P92" s="10">
        <f>IF(P$19*1000^2/($M$16*($K92/2000)^2*PI())*($K92/1000)/$O$16&lt;2320,(64*52.5*1000*$M$16*(P$19/($M$16*($K92/2000)^2*PI()))^2)/((P$19*1000^2/($M$16*($K92/2000)^2*PI())*($K92/1000)/$O$16)*1000*$K92*2)*AE92,(0.3164*52.5*1000*$M$16*(P$19/($M$16*($K92/2000)^2*PI()))^2)/(((P$19*1000^2/($M$16*($K92/2000)^2*PI())*($K92/1000)/$O$16))^0.25*1000*$K92*2)*AE92)</f>
        <v>111.34894935045763</v>
      </c>
      <c r="Q92" s="10">
        <f>IF(Q$19*1000^2/($M$16*($K92/2000)^2*PI())*($K92/1000)/$O$16&lt;2320,(64*52.5*1000*$M$16*(Q$19/($M$16*($K92/2000)^2*PI()))^2)/((Q$19*1000^2/($M$16*($K92/2000)^2*PI())*($K92/1000)/$O$16)*1000*$K92*2)*AF92,(0.3164*52.5*1000*$M$16*(Q$19/($M$16*($K92/2000)^2*PI()))^2)/(((Q$19*1000^2/($M$16*($K92/2000)^2*PI())*($K92/1000)/$O$16))^0.25*1000*$K92*2)*AF92)</f>
        <v>189.56606373994947</v>
      </c>
      <c r="R92" s="10">
        <f>IF(R$19*1000^2/($M$16*($K92/2000)^2*PI())*($K92/1000)/$O$16&lt;2320,(64*52.5*1000*$M$16*(R$19/($M$16*($K92/2000)^2*PI()))^2)/((R$19*1000^2/($M$16*($K92/2000)^2*PI())*($K92/1000)/$O$16)*1000*$K92*2)*AG92,(0.3164*52.5*1000*$M$16*(R$19/($M$16*($K92/2000)^2*PI()))^2)/(((R$19*1000^2/($M$16*($K92/2000)^2*PI())*($K92/1000)/$O$16))^0.25*1000*$K92*2)*AG92)</f>
        <v>287.17489019668767</v>
      </c>
      <c r="S92" s="10">
        <f>IF(S$19*1000^2/($M$16*($K92/2000)^2*PI())*($K92/1000)/$O$16&lt;2320,(64*52.5*1000*$M$16*(S$19/($M$16*($K92/2000)^2*PI()))^2)/((S$19*1000^2/($M$16*($K92/2000)^2*PI())*($K92/1000)/$O$16)*1000*$K92*2)*AH92,(0.3164*52.5*1000*$M$16*(S$19/($M$16*($K92/2000)^2*PI()))^2)/(((S$19*1000^2/($M$16*($K92/2000)^2*PI())*($K92/1000)/$O$16))^0.25*1000*$K92*2)*AH92)</f>
        <v>403.66041611456438</v>
      </c>
      <c r="T92" s="10">
        <f>IF(T$19*1000^2/($M$16*($K92/2000)^2*PI())*($K92/1000)/$O$16&lt;2320,(64*52.5*1000*$M$16*(T$19/($M$16*($K92/2000)^2*PI()))^2)/((T$19*1000^2/($M$16*($K92/2000)^2*PI())*($K92/1000)/$O$16)*1000*$K92*2)*AI92,(0.3164*52.5*1000*$M$16*(T$19/($M$16*($K92/2000)^2*PI()))^2)/(((T$19*1000^2/($M$16*($K92/2000)^2*PI())*($K92/1000)/$O$16))^0.25*1000*$K92*2)*AI92)</f>
        <v>538.66919369631501</v>
      </c>
      <c r="U92" s="10">
        <f>IF(U$19*1000^2/($M$16*($K92/2000)^2*PI())*($K92/1000)/$O$16&lt;2320,(64*52.5*1000*$M$16*(U$19/($M$16*($K92/2000)^2*PI()))^2)/((U$19*1000^2/($M$16*($K92/2000)^2*PI())*($K92/1000)/$O$16)*1000*$K92*2)*AJ92,(0.3164*52.5*1000*$M$16*(U$19/($M$16*($K92/2000)^2*PI()))^2)/(((U$19*1000^2/($M$16*($K92/2000)^2*PI())*($K92/1000)/$O$16))^0.25*1000*$K92*2)*AJ92)</f>
        <v>691.96946105057054</v>
      </c>
      <c r="V92" s="10">
        <f>IF(V$19*1000^2/($M$16*($K92/2000)^2*PI())*($K92/1000)/$O$16&lt;2320,(64*52.5*1000*$M$16*(V$19/($M$16*($K92/2000)^2*PI()))^2)/((V$19*1000^2/($M$16*($K92/2000)^2*PI())*($K92/1000)/$O$16)*1000*$K92*2)*AK92,(0.3164*52.5*1000*$M$16*(V$19/($M$16*($K92/2000)^2*PI()))^2)/(((V$19*1000^2/($M$16*($K92/2000)^2*PI())*($K92/1000)/$O$16))^0.25*1000*$K92*2)*AK92)</f>
        <v>863.4226818053894</v>
      </c>
      <c r="W92" s="10">
        <f>IF(W$19*1000^2/($M$16*($K92/2000)^2*PI())*($K92/1000)/$O$16&lt;2320,(64*52.5*1000*$M$16*(W$19/($M$16*($K92/2000)^2*PI()))^2)/((W$19*1000^2/($M$16*($K92/2000)^2*PI())*($K92/1000)/$O$16)*1000*$K92*2)*AL92,(0.3164*52.5*1000*$M$16*(W$19/($M$16*($K92/2000)^2*PI()))^2)/(((W$19*1000^2/($M$16*($K92/2000)^2*PI())*($K92/1000)/$O$16))^0.25*1000*$K92*2)*AL92)</f>
        <v>1052.9636316268138</v>
      </c>
      <c r="X92" s="10">
        <f>IF(X$19*1000^2/($M$16*($K92/2000)^2*PI())*($K92/1000)/$O$16&lt;2320,(64*52.5*1000*$M$16*(X$19/($M$16*($K92/2000)^2*PI()))^2)/((X$19*1000^2/($M$16*($K92/2000)^2*PI())*($K92/1000)/$O$16)*1000*$K92*2)*AM92,(0.3164*52.5*1000*$M$16*(X$19/($M$16*($K92/2000)^2*PI()))^2)/(((X$19*1000^2/($M$16*($K92/2000)^2*PI())*($K92/1000)/$O$16))^0.25*1000*$K92*2)*AM92)</f>
        <v>1260.586335108768</v>
      </c>
      <c r="Y92" s="10">
        <f>IF(Y$19*1000^2/($M$16*($K92/2000)^2*PI())*($K92/1000)/$O$16&lt;2320,(64*52.5*1000*$M$16*(Y$19/($M$16*($K92/2000)^2*PI()))^2)/((Y$19*1000^2/($M$16*($K92/2000)^2*PI())*($K92/1000)/$O$16)*1000*$K92*2)*AN92,(0.3164*52.5*1000*$M$16*(Y$19/($M$16*($K92/2000)^2*PI()))^2)/(((Y$19*1000^2/($M$16*($K92/2000)^2*PI())*($K92/1000)/$O$16))^0.25*1000*$K92*2)*AN92)</f>
        <v>1486.3339703634813</v>
      </c>
      <c r="AB92">
        <f>IF($J92="Winkel 8 mm 45°",((3.4778372890684+2042.77987300805*M$19)/(1 + 92.0325360155405*M$19 + -108.715774416597*M$19^2))/1.548,IF($J92="Winkel 10 mm 45°",(3.4778372890684+2042.77987300805*M$19)/(1 + 92.0325360155405*M$19 + -108.715774416597*M$19^2),IF($J92="Winkel 13 mm 45°",(1.98154884040722+8559.37423470466*M$19)/(1 + 111.16216889364*M$19 + -73.3088286294707*M$19^2)
)))</f>
        <v>3.4778372890684</v>
      </c>
      <c r="AC92">
        <f>IF($J92="Winkel 8 mm 45°",((3.4778372890684+2042.77987300805*N$19)/(1 + 92.0325360155405*N$19 + -108.715774416597*N$19^2))/1.548,IF($J92="Winkel 10 mm 45°",(3.4778372890684+2042.77987300805*N$19)/(1 + 92.0325360155405*N$19 + -108.715774416597*N$19^2),IF($J92="Winkel 13 mm 45°",(1.98154884040722+8559.37423470466*N$19)/(1 + 111.16216889364*N$19 + -73.3088286294707*N$19^2)
)))</f>
        <v>11.461312592125607</v>
      </c>
      <c r="AD92">
        <f>IF($J92="Winkel 8 mm 45°",((3.4778372890684+2042.77987300805*O$19)/(1 + 92.0325360155405*O$19 + -108.715774416597*O$19^2))/1.548,IF($J92="Winkel 10 mm 45°",(3.4778372890684+2042.77987300805*O$19)/(1 + 92.0325360155405*O$19 + -108.715774416597*O$19^2),IF($J92="Winkel 13 mm 45°",(1.98154884040722+8559.37423470466*O$19)/(1 + 111.16216889364*O$19 + -73.3088286294707*O$19^2)
)))</f>
        <v>14.148510222577533</v>
      </c>
      <c r="AE92">
        <f>IF($J92="Winkel 8 mm 45°",((3.4778372890684+2042.77987300805*P$19)/(1 + 92.0325360155405*P$19 + -108.715774416597*P$19^2))/1.548,IF($J92="Winkel 10 mm 45°",(3.4778372890684+2042.77987300805*P$19)/(1 + 92.0325360155405*P$19 + -108.715774416597*P$19^2),IF($J92="Winkel 13 mm 45°",(1.98154884040722+8559.37423470466*P$19)/(1 + 111.16216889364*P$19 + -73.3088286294707*P$19^2)
)))</f>
        <v>15.84942042809868</v>
      </c>
      <c r="AF92">
        <f>IF($J92="Winkel 8 mm 45°",((3.4778372890684+2042.77987300805*Q$19)/(1 + 92.0325360155405*Q$19 + -108.715774416597*Q$19^2))/1.548,IF($J92="Winkel 10 mm 45°",(3.4778372890684+2042.77987300805*Q$19)/(1 + 92.0325360155405*Q$19 + -108.715774416597*Q$19^2),IF($J92="Winkel 13 mm 45°",(1.98154884040722+8559.37423470466*Q$19)/(1 + 111.16216889364*Q$19 + -73.3088286294707*Q$19^2)
)))</f>
        <v>17.048531956659765</v>
      </c>
      <c r="AG92">
        <f>IF($J92="Winkel 8 mm 45°",((3.4778372890684+2042.77987300805*R$19)/(1 + 92.0325360155405*R$19 + -108.715774416597*R$19^2))/1.548,IF($J92="Winkel 10 mm 45°",(3.4778372890684+2042.77987300805*R$19)/(1 + 92.0325360155405*R$19 + -108.715774416597*R$19^2),IF($J92="Winkel 13 mm 45°",(1.98154884040722+8559.37423470466*R$19)/(1 + 111.16216889364*R$19 + -73.3088286294707*R$19^2)
)))</f>
        <v>17.95823937995209</v>
      </c>
      <c r="AH92">
        <f>IF($J92="Winkel 8 mm 45°",((3.4778372890684+2042.77987300805*S$19)/(1 + 92.0325360155405*S$19 + -108.715774416597*S$19^2))/1.548,IF($J92="Winkel 10 mm 45°",(3.4778372890684+2042.77987300805*S$19)/(1 + 92.0325360155405*S$19 + -108.715774416597*S$19^2),IF($J92="Winkel 13 mm 45°",(1.98154884040722+8559.37423470466*S$19)/(1 + 111.16216889364*S$19 + -73.3088286294707*S$19^2)
)))</f>
        <v>18.686356245592034</v>
      </c>
      <c r="AI92">
        <f>IF($J92="Winkel 8 mm 45°",((3.4778372890684+2042.77987300805*T$19)/(1 + 92.0325360155405*T$19 + -108.715774416597*T$19^2))/1.548,IF($J92="Winkel 10 mm 45°",(3.4778372890684+2042.77987300805*T$19)/(1 + 92.0325360155405*T$19 + -108.715774416597*T$19^2),IF($J92="Winkel 13 mm 45°",(1.98154884040722+8559.37423470466*T$19)/(1 + 111.16216889364*T$19 + -73.3088286294707*T$19^2)
)))</f>
        <v>19.293441828578189</v>
      </c>
      <c r="AJ92">
        <f>IF($J92="Winkel 8 mm 45°",((3.4778372890684+2042.77987300805*U$19)/(1 + 92.0325360155405*U$19 + -108.715774416597*U$19^2))/1.548,IF($J92="Winkel 10 mm 45°",(3.4778372890684+2042.77987300805*U$19)/(1 + 92.0325360155405*U$19 + -108.715774416597*U$19^2),IF($J92="Winkel 13 mm 45°",(1.98154884040722+8559.37423470466*U$19)/(1 + 111.16216889364*U$19 + -73.3088286294707*U$19^2)
)))</f>
        <v>19.816145167632449</v>
      </c>
      <c r="AK92">
        <f>IF($J92="Winkel 8 mm 45°",((3.4778372890684+2042.77987300805*V$19)/(1 + 92.0325360155405*V$19 + -108.715774416597*V$19^2))/1.548,IF($J92="Winkel 10 mm 45°",(3.4778372890684+2042.77987300805*V$19)/(1 + 92.0325360155405*V$19 + -108.715774416597*V$19^2),IF($J92="Winkel 13 mm 45°",(1.98154884040722+8559.37423470466*V$19)/(1 + 111.16216889364*V$19 + -73.3088286294707*V$19^2)
)))</f>
        <v>20.277955267116067</v>
      </c>
      <c r="AL92">
        <f>IF($J92="Winkel 8 mm 45°",((3.4778372890684+2042.77987300805*W$19)/(1 + 92.0325360155405*W$19 + -108.715774416597*W$19^2))/1.548,IF($J92="Winkel 10 mm 45°",(3.4778372890684+2042.77987300805*W$19)/(1 + 92.0325360155405*W$19 + -108.715774416597*W$19^2),IF($J92="Winkel 13 mm 45°",(1.98154884040722+8559.37423470466*W$19)/(1 + 111.16216889364*W$19 + -73.3088286294707*W$19^2)
)))</f>
        <v>20.694630160184133</v>
      </c>
      <c r="AM92">
        <f>IF($J92="Winkel 8 mm 45°",((3.4778372890684+2042.77987300805*X$19)/(1 + 92.0325360155405*X$19 + -108.715774416597*X$19^2))/1.548,IF($J92="Winkel 10 mm 45°",(3.4778372890684+2042.77987300805*X$19)/(1 + 92.0325360155405*X$19 + -108.715774416597*X$19^2),IF($J92="Winkel 13 mm 45°",(1.98154884040722+8559.37423470466*X$19)/(1 + 111.16216889364*X$19 + -73.3088286294707*X$19^2)
)))</f>
        <v>21.077143506225831</v>
      </c>
      <c r="AN92">
        <f>IF($J92="Winkel 8 mm 45°",((3.4778372890684+2042.77987300805*Y$19)/(1 + 92.0325360155405*Y$19 + -108.715774416597*Y$19^2))/1.548,IF($J92="Winkel 10 mm 45°",(3.4778372890684+2042.77987300805*Y$19)/(1 + 92.0325360155405*Y$19 + -108.715774416597*Y$19^2),IF($J92="Winkel 13 mm 45°",(1.98154884040722+8559.37423470466*Y$19)/(1 + 111.16216889364*Y$19 + -73.3088286294707*Y$19^2)
)))</f>
        <v>21.43337926699753</v>
      </c>
      <c r="AQ92">
        <v>69</v>
      </c>
      <c r="AR92" s="14">
        <v>4.6385638646181757</v>
      </c>
      <c r="AS92" s="13">
        <f t="shared" si="30"/>
        <v>45408.513107833889</v>
      </c>
      <c r="AT92" s="9">
        <v>3.5925616978201811</v>
      </c>
      <c r="AU92" s="13">
        <f t="shared" si="31"/>
        <v>35168.834515895578</v>
      </c>
    </row>
    <row r="93" spans="1:47" x14ac:dyDescent="0.35">
      <c r="A93">
        <f t="shared" si="26"/>
        <v>70</v>
      </c>
      <c r="B93" s="13">
        <f t="shared" si="27"/>
        <v>45389.259815713645</v>
      </c>
      <c r="F93">
        <f t="shared" si="28"/>
        <v>70</v>
      </c>
      <c r="G93" s="13">
        <f t="shared" si="29"/>
        <v>35148.975987304628</v>
      </c>
      <c r="I93" s="1">
        <v>23</v>
      </c>
      <c r="J93" t="s">
        <v>37</v>
      </c>
      <c r="K93">
        <f t="shared" ref="K93:K94" si="33">IF(J93="Winkel 8 mm 45°",8,IF(J93="Winkel 10 mm 45°",10,IF(J93="Winkel 13 mm 45°",13)))</f>
        <v>10</v>
      </c>
      <c r="L93" s="4" t="s">
        <v>12</v>
      </c>
      <c r="M93" s="1">
        <v>0</v>
      </c>
      <c r="N93" s="10">
        <f>IF(N$19*1000^2/($M$16*($K93/2000)^2*PI())*($K93/1000)/$O$16&lt;2320,(64*52.5*1000*$M$16*(N$19/($M$16*($K93/2000)^2*PI()))^2)/((N$19*1000^2/($M$16*($K93/2000)^2*PI())*($K93/1000)/$O$16)*1000*$K93*2)*AC93,(0.3164*52.5*1000*$M$16*(N$19/($M$16*($K93/2000)^2*PI()))^2)/(((N$19*1000^2/($M$16*($K93/2000)^2*PI())*($K93/1000)/$O$16))^0.25*1000*$K93*2)*AC93)</f>
        <v>14.203705425906548</v>
      </c>
      <c r="O93" s="10">
        <f>IF(O$19*1000^2/($M$16*($K93/2000)^2*PI())*($K93/1000)/$O$16&lt;2320,(64*52.5*1000*$M$16*(O$19/($M$16*($K93/2000)^2*PI()))^2)/((O$19*1000^2/($M$16*($K93/2000)^2*PI())*($K93/1000)/$O$16)*1000*$K93*2)*AD93,(0.3164*52.5*1000*$M$16*(O$19/($M$16*($K93/2000)^2*PI()))^2)/(((O$19*1000^2/($M$16*($K93/2000)^2*PI())*($K93/1000)/$O$16))^0.25*1000*$K93*2)*AD93)</f>
        <v>53.248210933140015</v>
      </c>
      <c r="P93" s="10">
        <f>IF(P$19*1000^2/($M$16*($K93/2000)^2*PI())*($K93/1000)/$O$16&lt;2320,(64*52.5*1000*$M$16*(P$19/($M$16*($K93/2000)^2*PI()))^2)/((P$19*1000^2/($M$16*($K93/2000)^2*PI())*($K93/1000)/$O$16)*1000*$K93*2)*AE93,(0.3164*52.5*1000*$M$16*(P$19/($M$16*($K93/2000)^2*PI()))^2)/(((P$19*1000^2/($M$16*($K93/2000)^2*PI())*($K93/1000)/$O$16))^0.25*1000*$K93*2)*AE93)</f>
        <v>111.34894935045763</v>
      </c>
      <c r="Q93" s="10">
        <f>IF(Q$19*1000^2/($M$16*($K93/2000)^2*PI())*($K93/1000)/$O$16&lt;2320,(64*52.5*1000*$M$16*(Q$19/($M$16*($K93/2000)^2*PI()))^2)/((Q$19*1000^2/($M$16*($K93/2000)^2*PI())*($K93/1000)/$O$16)*1000*$K93*2)*AF93,(0.3164*52.5*1000*$M$16*(Q$19/($M$16*($K93/2000)^2*PI()))^2)/(((Q$19*1000^2/($M$16*($K93/2000)^2*PI())*($K93/1000)/$O$16))^0.25*1000*$K93*2)*AF93)</f>
        <v>189.56606373994947</v>
      </c>
      <c r="R93" s="10">
        <f>IF(R$19*1000^2/($M$16*($K93/2000)^2*PI())*($K93/1000)/$O$16&lt;2320,(64*52.5*1000*$M$16*(R$19/($M$16*($K93/2000)^2*PI()))^2)/((R$19*1000^2/($M$16*($K93/2000)^2*PI())*($K93/1000)/$O$16)*1000*$K93*2)*AG93,(0.3164*52.5*1000*$M$16*(R$19/($M$16*($K93/2000)^2*PI()))^2)/(((R$19*1000^2/($M$16*($K93/2000)^2*PI())*($K93/1000)/$O$16))^0.25*1000*$K93*2)*AG93)</f>
        <v>287.17489019668767</v>
      </c>
      <c r="S93" s="10">
        <f>IF(S$19*1000^2/($M$16*($K93/2000)^2*PI())*($K93/1000)/$O$16&lt;2320,(64*52.5*1000*$M$16*(S$19/($M$16*($K93/2000)^2*PI()))^2)/((S$19*1000^2/($M$16*($K93/2000)^2*PI())*($K93/1000)/$O$16)*1000*$K93*2)*AH93,(0.3164*52.5*1000*$M$16*(S$19/($M$16*($K93/2000)^2*PI()))^2)/(((S$19*1000^2/($M$16*($K93/2000)^2*PI())*($K93/1000)/$O$16))^0.25*1000*$K93*2)*AH93)</f>
        <v>403.66041611456438</v>
      </c>
      <c r="T93" s="10">
        <f>IF(T$19*1000^2/($M$16*($K93/2000)^2*PI())*($K93/1000)/$O$16&lt;2320,(64*52.5*1000*$M$16*(T$19/($M$16*($K93/2000)^2*PI()))^2)/((T$19*1000^2/($M$16*($K93/2000)^2*PI())*($K93/1000)/$O$16)*1000*$K93*2)*AI93,(0.3164*52.5*1000*$M$16*(T$19/($M$16*($K93/2000)^2*PI()))^2)/(((T$19*1000^2/($M$16*($K93/2000)^2*PI())*($K93/1000)/$O$16))^0.25*1000*$K93*2)*AI93)</f>
        <v>538.66919369631501</v>
      </c>
      <c r="U93" s="10">
        <f>IF(U$19*1000^2/($M$16*($K93/2000)^2*PI())*($K93/1000)/$O$16&lt;2320,(64*52.5*1000*$M$16*(U$19/($M$16*($K93/2000)^2*PI()))^2)/((U$19*1000^2/($M$16*($K93/2000)^2*PI())*($K93/1000)/$O$16)*1000*$K93*2)*AJ93,(0.3164*52.5*1000*$M$16*(U$19/($M$16*($K93/2000)^2*PI()))^2)/(((U$19*1000^2/($M$16*($K93/2000)^2*PI())*($K93/1000)/$O$16))^0.25*1000*$K93*2)*AJ93)</f>
        <v>691.96946105057054</v>
      </c>
      <c r="V93" s="10">
        <f>IF(V$19*1000^2/($M$16*($K93/2000)^2*PI())*($K93/1000)/$O$16&lt;2320,(64*52.5*1000*$M$16*(V$19/($M$16*($K93/2000)^2*PI()))^2)/((V$19*1000^2/($M$16*($K93/2000)^2*PI())*($K93/1000)/$O$16)*1000*$K93*2)*AK93,(0.3164*52.5*1000*$M$16*(V$19/($M$16*($K93/2000)^2*PI()))^2)/(((V$19*1000^2/($M$16*($K93/2000)^2*PI())*($K93/1000)/$O$16))^0.25*1000*$K93*2)*AK93)</f>
        <v>863.4226818053894</v>
      </c>
      <c r="W93" s="10">
        <f>IF(W$19*1000^2/($M$16*($K93/2000)^2*PI())*($K93/1000)/$O$16&lt;2320,(64*52.5*1000*$M$16*(W$19/($M$16*($K93/2000)^2*PI()))^2)/((W$19*1000^2/($M$16*($K93/2000)^2*PI())*($K93/1000)/$O$16)*1000*$K93*2)*AL93,(0.3164*52.5*1000*$M$16*(W$19/($M$16*($K93/2000)^2*PI()))^2)/(((W$19*1000^2/($M$16*($K93/2000)^2*PI())*($K93/1000)/$O$16))^0.25*1000*$K93*2)*AL93)</f>
        <v>1052.9636316268138</v>
      </c>
      <c r="X93" s="10">
        <f>IF(X$19*1000^2/($M$16*($K93/2000)^2*PI())*($K93/1000)/$O$16&lt;2320,(64*52.5*1000*$M$16*(X$19/($M$16*($K93/2000)^2*PI()))^2)/((X$19*1000^2/($M$16*($K93/2000)^2*PI())*($K93/1000)/$O$16)*1000*$K93*2)*AM93,(0.3164*52.5*1000*$M$16*(X$19/($M$16*($K93/2000)^2*PI()))^2)/(((X$19*1000^2/($M$16*($K93/2000)^2*PI())*($K93/1000)/$O$16))^0.25*1000*$K93*2)*AM93)</f>
        <v>1260.586335108768</v>
      </c>
      <c r="Y93" s="10">
        <f>IF(Y$19*1000^2/($M$16*($K93/2000)^2*PI())*($K93/1000)/$O$16&lt;2320,(64*52.5*1000*$M$16*(Y$19/($M$16*($K93/2000)^2*PI()))^2)/((Y$19*1000^2/($M$16*($K93/2000)^2*PI())*($K93/1000)/$O$16)*1000*$K93*2)*AN93,(0.3164*52.5*1000*$M$16*(Y$19/($M$16*($K93/2000)^2*PI()))^2)/(((Y$19*1000^2/($M$16*($K93/2000)^2*PI())*($K93/1000)/$O$16))^0.25*1000*$K93*2)*AN93)</f>
        <v>1486.3339703634813</v>
      </c>
      <c r="AB93">
        <f>IF($J93="Winkel 8 mm 45°",((3.4778372890684+2042.77987300805*M$19)/(1 + 92.0325360155405*M$19 + -108.715774416597*M$19^2))/1.548,IF($J93="Winkel 10 mm 45°",(3.4778372890684+2042.77987300805*M$19)/(1 + 92.0325360155405*M$19 + -108.715774416597*M$19^2),IF($J93="Winkel 13 mm 45°",(1.98154884040722+8559.37423470466*M$19)/(1 + 111.16216889364*M$19 + -73.3088286294707*M$19^2)
)))</f>
        <v>3.4778372890684</v>
      </c>
      <c r="AC93">
        <f>IF($J93="Winkel 8 mm 45°",((3.4778372890684+2042.77987300805*N$19)/(1 + 92.0325360155405*N$19 + -108.715774416597*N$19^2))/1.548,IF($J93="Winkel 10 mm 45°",(3.4778372890684+2042.77987300805*N$19)/(1 + 92.0325360155405*N$19 + -108.715774416597*N$19^2),IF($J93="Winkel 13 mm 45°",(1.98154884040722+8559.37423470466*N$19)/(1 + 111.16216889364*N$19 + -73.3088286294707*N$19^2)
)))</f>
        <v>11.461312592125607</v>
      </c>
      <c r="AD93">
        <f>IF($J93="Winkel 8 mm 45°",((3.4778372890684+2042.77987300805*O$19)/(1 + 92.0325360155405*O$19 + -108.715774416597*O$19^2))/1.548,IF($J93="Winkel 10 mm 45°",(3.4778372890684+2042.77987300805*O$19)/(1 + 92.0325360155405*O$19 + -108.715774416597*O$19^2),IF($J93="Winkel 13 mm 45°",(1.98154884040722+8559.37423470466*O$19)/(1 + 111.16216889364*O$19 + -73.3088286294707*O$19^2)
)))</f>
        <v>14.148510222577533</v>
      </c>
      <c r="AE93">
        <f>IF($J93="Winkel 8 mm 45°",((3.4778372890684+2042.77987300805*P$19)/(1 + 92.0325360155405*P$19 + -108.715774416597*P$19^2))/1.548,IF($J93="Winkel 10 mm 45°",(3.4778372890684+2042.77987300805*P$19)/(1 + 92.0325360155405*P$19 + -108.715774416597*P$19^2),IF($J93="Winkel 13 mm 45°",(1.98154884040722+8559.37423470466*P$19)/(1 + 111.16216889364*P$19 + -73.3088286294707*P$19^2)
)))</f>
        <v>15.84942042809868</v>
      </c>
      <c r="AF93">
        <f>IF($J93="Winkel 8 mm 45°",((3.4778372890684+2042.77987300805*Q$19)/(1 + 92.0325360155405*Q$19 + -108.715774416597*Q$19^2))/1.548,IF($J93="Winkel 10 mm 45°",(3.4778372890684+2042.77987300805*Q$19)/(1 + 92.0325360155405*Q$19 + -108.715774416597*Q$19^2),IF($J93="Winkel 13 mm 45°",(1.98154884040722+8559.37423470466*Q$19)/(1 + 111.16216889364*Q$19 + -73.3088286294707*Q$19^2)
)))</f>
        <v>17.048531956659765</v>
      </c>
      <c r="AG93">
        <f>IF($J93="Winkel 8 mm 45°",((3.4778372890684+2042.77987300805*R$19)/(1 + 92.0325360155405*R$19 + -108.715774416597*R$19^2))/1.548,IF($J93="Winkel 10 mm 45°",(3.4778372890684+2042.77987300805*R$19)/(1 + 92.0325360155405*R$19 + -108.715774416597*R$19^2),IF($J93="Winkel 13 mm 45°",(1.98154884040722+8559.37423470466*R$19)/(1 + 111.16216889364*R$19 + -73.3088286294707*R$19^2)
)))</f>
        <v>17.95823937995209</v>
      </c>
      <c r="AH93">
        <f>IF($J93="Winkel 8 mm 45°",((3.4778372890684+2042.77987300805*S$19)/(1 + 92.0325360155405*S$19 + -108.715774416597*S$19^2))/1.548,IF($J93="Winkel 10 mm 45°",(3.4778372890684+2042.77987300805*S$19)/(1 + 92.0325360155405*S$19 + -108.715774416597*S$19^2),IF($J93="Winkel 13 mm 45°",(1.98154884040722+8559.37423470466*S$19)/(1 + 111.16216889364*S$19 + -73.3088286294707*S$19^2)
)))</f>
        <v>18.686356245592034</v>
      </c>
      <c r="AI93">
        <f>IF($J93="Winkel 8 mm 45°",((3.4778372890684+2042.77987300805*T$19)/(1 + 92.0325360155405*T$19 + -108.715774416597*T$19^2))/1.548,IF($J93="Winkel 10 mm 45°",(3.4778372890684+2042.77987300805*T$19)/(1 + 92.0325360155405*T$19 + -108.715774416597*T$19^2),IF($J93="Winkel 13 mm 45°",(1.98154884040722+8559.37423470466*T$19)/(1 + 111.16216889364*T$19 + -73.3088286294707*T$19^2)
)))</f>
        <v>19.293441828578189</v>
      </c>
      <c r="AJ93">
        <f>IF($J93="Winkel 8 mm 45°",((3.4778372890684+2042.77987300805*U$19)/(1 + 92.0325360155405*U$19 + -108.715774416597*U$19^2))/1.548,IF($J93="Winkel 10 mm 45°",(3.4778372890684+2042.77987300805*U$19)/(1 + 92.0325360155405*U$19 + -108.715774416597*U$19^2),IF($J93="Winkel 13 mm 45°",(1.98154884040722+8559.37423470466*U$19)/(1 + 111.16216889364*U$19 + -73.3088286294707*U$19^2)
)))</f>
        <v>19.816145167632449</v>
      </c>
      <c r="AK93">
        <f>IF($J93="Winkel 8 mm 45°",((3.4778372890684+2042.77987300805*V$19)/(1 + 92.0325360155405*V$19 + -108.715774416597*V$19^2))/1.548,IF($J93="Winkel 10 mm 45°",(3.4778372890684+2042.77987300805*V$19)/(1 + 92.0325360155405*V$19 + -108.715774416597*V$19^2),IF($J93="Winkel 13 mm 45°",(1.98154884040722+8559.37423470466*V$19)/(1 + 111.16216889364*V$19 + -73.3088286294707*V$19^2)
)))</f>
        <v>20.277955267116067</v>
      </c>
      <c r="AL93">
        <f>IF($J93="Winkel 8 mm 45°",((3.4778372890684+2042.77987300805*W$19)/(1 + 92.0325360155405*W$19 + -108.715774416597*W$19^2))/1.548,IF($J93="Winkel 10 mm 45°",(3.4778372890684+2042.77987300805*W$19)/(1 + 92.0325360155405*W$19 + -108.715774416597*W$19^2),IF($J93="Winkel 13 mm 45°",(1.98154884040722+8559.37423470466*W$19)/(1 + 111.16216889364*W$19 + -73.3088286294707*W$19^2)
)))</f>
        <v>20.694630160184133</v>
      </c>
      <c r="AM93">
        <f>IF($J93="Winkel 8 mm 45°",((3.4778372890684+2042.77987300805*X$19)/(1 + 92.0325360155405*X$19 + -108.715774416597*X$19^2))/1.548,IF($J93="Winkel 10 mm 45°",(3.4778372890684+2042.77987300805*X$19)/(1 + 92.0325360155405*X$19 + -108.715774416597*X$19^2),IF($J93="Winkel 13 mm 45°",(1.98154884040722+8559.37423470466*X$19)/(1 + 111.16216889364*X$19 + -73.3088286294707*X$19^2)
)))</f>
        <v>21.077143506225831</v>
      </c>
      <c r="AN93">
        <f>IF($J93="Winkel 8 mm 45°",((3.4778372890684+2042.77987300805*Y$19)/(1 + 92.0325360155405*Y$19 + -108.715774416597*Y$19^2))/1.548,IF($J93="Winkel 10 mm 45°",(3.4778372890684+2042.77987300805*Y$19)/(1 + 92.0325360155405*Y$19 + -108.715774416597*Y$19^2),IF($J93="Winkel 13 mm 45°",(1.98154884040722+8559.37423470466*Y$19)/(1 + 111.16216889364*Y$19 + -73.3088286294707*Y$19^2)
)))</f>
        <v>21.43337926699753</v>
      </c>
      <c r="AQ93">
        <v>70</v>
      </c>
      <c r="AR93" s="14">
        <v>4.636597105105662</v>
      </c>
      <c r="AS93" s="13">
        <f t="shared" si="30"/>
        <v>45389.259815713645</v>
      </c>
      <c r="AT93" s="9">
        <v>3.5905331122792337</v>
      </c>
      <c r="AU93" s="13">
        <f t="shared" si="31"/>
        <v>35148.975987304628</v>
      </c>
    </row>
    <row r="94" spans="1:47" x14ac:dyDescent="0.35">
      <c r="A94">
        <f t="shared" si="26"/>
        <v>71</v>
      </c>
      <c r="B94" s="13">
        <f t="shared" si="27"/>
        <v>45369.676415107999</v>
      </c>
      <c r="F94">
        <f t="shared" si="28"/>
        <v>71</v>
      </c>
      <c r="G94" s="13">
        <f t="shared" si="29"/>
        <v>35129.032165627599</v>
      </c>
      <c r="I94" s="1">
        <v>24</v>
      </c>
      <c r="J94" t="s">
        <v>37</v>
      </c>
      <c r="K94">
        <f t="shared" si="33"/>
        <v>10</v>
      </c>
      <c r="L94" s="4" t="s">
        <v>12</v>
      </c>
      <c r="M94" s="1">
        <v>0</v>
      </c>
      <c r="N94" s="10">
        <f>IF(N$19*1000^2/($M$16*($K94/2000)^2*PI())*($K94/1000)/$O$16&lt;2320,(64*52.5*1000*$M$16*(N$19/($M$16*($K94/2000)^2*PI()))^2)/((N$19*1000^2/($M$16*($K94/2000)^2*PI())*($K94/1000)/$O$16)*1000*$K94*2)*AC94,(0.3164*52.5*1000*$M$16*(N$19/($M$16*($K94/2000)^2*PI()))^2)/(((N$19*1000^2/($M$16*($K94/2000)^2*PI())*($K94/1000)/$O$16))^0.25*1000*$K94*2)*AC94)</f>
        <v>14.203705425906548</v>
      </c>
      <c r="O94" s="10">
        <f>IF(O$19*1000^2/($M$16*($K94/2000)^2*PI())*($K94/1000)/$O$16&lt;2320,(64*52.5*1000*$M$16*(O$19/($M$16*($K94/2000)^2*PI()))^2)/((O$19*1000^2/($M$16*($K94/2000)^2*PI())*($K94/1000)/$O$16)*1000*$K94*2)*AD94,(0.3164*52.5*1000*$M$16*(O$19/($M$16*($K94/2000)^2*PI()))^2)/(((O$19*1000^2/($M$16*($K94/2000)^2*PI())*($K94/1000)/$O$16))^0.25*1000*$K94*2)*AD94)</f>
        <v>53.248210933140015</v>
      </c>
      <c r="P94" s="10">
        <f>IF(P$19*1000^2/($M$16*($K94/2000)^2*PI())*($K94/1000)/$O$16&lt;2320,(64*52.5*1000*$M$16*(P$19/($M$16*($K94/2000)^2*PI()))^2)/((P$19*1000^2/($M$16*($K94/2000)^2*PI())*($K94/1000)/$O$16)*1000*$K94*2)*AE94,(0.3164*52.5*1000*$M$16*(P$19/($M$16*($K94/2000)^2*PI()))^2)/(((P$19*1000^2/($M$16*($K94/2000)^2*PI())*($K94/1000)/$O$16))^0.25*1000*$K94*2)*AE94)</f>
        <v>111.34894935045763</v>
      </c>
      <c r="Q94" s="10">
        <f>IF(Q$19*1000^2/($M$16*($K94/2000)^2*PI())*($K94/1000)/$O$16&lt;2320,(64*52.5*1000*$M$16*(Q$19/($M$16*($K94/2000)^2*PI()))^2)/((Q$19*1000^2/($M$16*($K94/2000)^2*PI())*($K94/1000)/$O$16)*1000*$K94*2)*AF94,(0.3164*52.5*1000*$M$16*(Q$19/($M$16*($K94/2000)^2*PI()))^2)/(((Q$19*1000^2/($M$16*($K94/2000)^2*PI())*($K94/1000)/$O$16))^0.25*1000*$K94*2)*AF94)</f>
        <v>189.56606373994947</v>
      </c>
      <c r="R94" s="10">
        <f>IF(R$19*1000^2/($M$16*($K94/2000)^2*PI())*($K94/1000)/$O$16&lt;2320,(64*52.5*1000*$M$16*(R$19/($M$16*($K94/2000)^2*PI()))^2)/((R$19*1000^2/($M$16*($K94/2000)^2*PI())*($K94/1000)/$O$16)*1000*$K94*2)*AG94,(0.3164*52.5*1000*$M$16*(R$19/($M$16*($K94/2000)^2*PI()))^2)/(((R$19*1000^2/($M$16*($K94/2000)^2*PI())*($K94/1000)/$O$16))^0.25*1000*$K94*2)*AG94)</f>
        <v>287.17489019668767</v>
      </c>
      <c r="S94" s="10">
        <f>IF(S$19*1000^2/($M$16*($K94/2000)^2*PI())*($K94/1000)/$O$16&lt;2320,(64*52.5*1000*$M$16*(S$19/($M$16*($K94/2000)^2*PI()))^2)/((S$19*1000^2/($M$16*($K94/2000)^2*PI())*($K94/1000)/$O$16)*1000*$K94*2)*AH94,(0.3164*52.5*1000*$M$16*(S$19/($M$16*($K94/2000)^2*PI()))^2)/(((S$19*1000^2/($M$16*($K94/2000)^2*PI())*($K94/1000)/$O$16))^0.25*1000*$K94*2)*AH94)</f>
        <v>403.66041611456438</v>
      </c>
      <c r="T94" s="10">
        <f>IF(T$19*1000^2/($M$16*($K94/2000)^2*PI())*($K94/1000)/$O$16&lt;2320,(64*52.5*1000*$M$16*(T$19/($M$16*($K94/2000)^2*PI()))^2)/((T$19*1000^2/($M$16*($K94/2000)^2*PI())*($K94/1000)/$O$16)*1000*$K94*2)*AI94,(0.3164*52.5*1000*$M$16*(T$19/($M$16*($K94/2000)^2*PI()))^2)/(((T$19*1000^2/($M$16*($K94/2000)^2*PI())*($K94/1000)/$O$16))^0.25*1000*$K94*2)*AI94)</f>
        <v>538.66919369631501</v>
      </c>
      <c r="U94" s="10">
        <f>IF(U$19*1000^2/($M$16*($K94/2000)^2*PI())*($K94/1000)/$O$16&lt;2320,(64*52.5*1000*$M$16*(U$19/($M$16*($K94/2000)^2*PI()))^2)/((U$19*1000^2/($M$16*($K94/2000)^2*PI())*($K94/1000)/$O$16)*1000*$K94*2)*AJ94,(0.3164*52.5*1000*$M$16*(U$19/($M$16*($K94/2000)^2*PI()))^2)/(((U$19*1000^2/($M$16*($K94/2000)^2*PI())*($K94/1000)/$O$16))^0.25*1000*$K94*2)*AJ94)</f>
        <v>691.96946105057054</v>
      </c>
      <c r="V94" s="10">
        <f>IF(V$19*1000^2/($M$16*($K94/2000)^2*PI())*($K94/1000)/$O$16&lt;2320,(64*52.5*1000*$M$16*(V$19/($M$16*($K94/2000)^2*PI()))^2)/((V$19*1000^2/($M$16*($K94/2000)^2*PI())*($K94/1000)/$O$16)*1000*$K94*2)*AK94,(0.3164*52.5*1000*$M$16*(V$19/($M$16*($K94/2000)^2*PI()))^2)/(((V$19*1000^2/($M$16*($K94/2000)^2*PI())*($K94/1000)/$O$16))^0.25*1000*$K94*2)*AK94)</f>
        <v>863.4226818053894</v>
      </c>
      <c r="W94" s="10">
        <f>IF(W$19*1000^2/($M$16*($K94/2000)^2*PI())*($K94/1000)/$O$16&lt;2320,(64*52.5*1000*$M$16*(W$19/($M$16*($K94/2000)^2*PI()))^2)/((W$19*1000^2/($M$16*($K94/2000)^2*PI())*($K94/1000)/$O$16)*1000*$K94*2)*AL94,(0.3164*52.5*1000*$M$16*(W$19/($M$16*($K94/2000)^2*PI()))^2)/(((W$19*1000^2/($M$16*($K94/2000)^2*PI())*($K94/1000)/$O$16))^0.25*1000*$K94*2)*AL94)</f>
        <v>1052.9636316268138</v>
      </c>
      <c r="X94" s="10">
        <f>IF(X$19*1000^2/($M$16*($K94/2000)^2*PI())*($K94/1000)/$O$16&lt;2320,(64*52.5*1000*$M$16*(X$19/($M$16*($K94/2000)^2*PI()))^2)/((X$19*1000^2/($M$16*($K94/2000)^2*PI())*($K94/1000)/$O$16)*1000*$K94*2)*AM94,(0.3164*52.5*1000*$M$16*(X$19/($M$16*($K94/2000)^2*PI()))^2)/(((X$19*1000^2/($M$16*($K94/2000)^2*PI())*($K94/1000)/$O$16))^0.25*1000*$K94*2)*AM94)</f>
        <v>1260.586335108768</v>
      </c>
      <c r="Y94" s="10">
        <f>IF(Y$19*1000^2/($M$16*($K94/2000)^2*PI())*($K94/1000)/$O$16&lt;2320,(64*52.5*1000*$M$16*(Y$19/($M$16*($K94/2000)^2*PI()))^2)/((Y$19*1000^2/($M$16*($K94/2000)^2*PI())*($K94/1000)/$O$16)*1000*$K94*2)*AN94,(0.3164*52.5*1000*$M$16*(Y$19/($M$16*($K94/2000)^2*PI()))^2)/(((Y$19*1000^2/($M$16*($K94/2000)^2*PI())*($K94/1000)/$O$16))^0.25*1000*$K94*2)*AN94)</f>
        <v>1486.3339703634813</v>
      </c>
      <c r="AB94">
        <f>IF($J94="Winkel 8 mm 45°",((3.4778372890684+2042.77987300805*M$19)/(1 + 92.0325360155405*M$19 + -108.715774416597*M$19^2))/1.548,IF($J94="Winkel 10 mm 45°",(3.4778372890684+2042.77987300805*M$19)/(1 + 92.0325360155405*M$19 + -108.715774416597*M$19^2),IF($J94="Winkel 13 mm 45°",(1.98154884040722+8559.37423470466*M$19)/(1 + 111.16216889364*M$19 + -73.3088286294707*M$19^2)
)))</f>
        <v>3.4778372890684</v>
      </c>
      <c r="AC94">
        <f>IF($J94="Winkel 8 mm 45°",((3.4778372890684+2042.77987300805*N$19)/(1 + 92.0325360155405*N$19 + -108.715774416597*N$19^2))/1.548,IF($J94="Winkel 10 mm 45°",(3.4778372890684+2042.77987300805*N$19)/(1 + 92.0325360155405*N$19 + -108.715774416597*N$19^2),IF($J94="Winkel 13 mm 45°",(1.98154884040722+8559.37423470466*N$19)/(1 + 111.16216889364*N$19 + -73.3088286294707*N$19^2)
)))</f>
        <v>11.461312592125607</v>
      </c>
      <c r="AD94">
        <f>IF($J94="Winkel 8 mm 45°",((3.4778372890684+2042.77987300805*O$19)/(1 + 92.0325360155405*O$19 + -108.715774416597*O$19^2))/1.548,IF($J94="Winkel 10 mm 45°",(3.4778372890684+2042.77987300805*O$19)/(1 + 92.0325360155405*O$19 + -108.715774416597*O$19^2),IF($J94="Winkel 13 mm 45°",(1.98154884040722+8559.37423470466*O$19)/(1 + 111.16216889364*O$19 + -73.3088286294707*O$19^2)
)))</f>
        <v>14.148510222577533</v>
      </c>
      <c r="AE94">
        <f>IF($J94="Winkel 8 mm 45°",((3.4778372890684+2042.77987300805*P$19)/(1 + 92.0325360155405*P$19 + -108.715774416597*P$19^2))/1.548,IF($J94="Winkel 10 mm 45°",(3.4778372890684+2042.77987300805*P$19)/(1 + 92.0325360155405*P$19 + -108.715774416597*P$19^2),IF($J94="Winkel 13 mm 45°",(1.98154884040722+8559.37423470466*P$19)/(1 + 111.16216889364*P$19 + -73.3088286294707*P$19^2)
)))</f>
        <v>15.84942042809868</v>
      </c>
      <c r="AF94">
        <f>IF($J94="Winkel 8 mm 45°",((3.4778372890684+2042.77987300805*Q$19)/(1 + 92.0325360155405*Q$19 + -108.715774416597*Q$19^2))/1.548,IF($J94="Winkel 10 mm 45°",(3.4778372890684+2042.77987300805*Q$19)/(1 + 92.0325360155405*Q$19 + -108.715774416597*Q$19^2),IF($J94="Winkel 13 mm 45°",(1.98154884040722+8559.37423470466*Q$19)/(1 + 111.16216889364*Q$19 + -73.3088286294707*Q$19^2)
)))</f>
        <v>17.048531956659765</v>
      </c>
      <c r="AG94">
        <f>IF($J94="Winkel 8 mm 45°",((3.4778372890684+2042.77987300805*R$19)/(1 + 92.0325360155405*R$19 + -108.715774416597*R$19^2))/1.548,IF($J94="Winkel 10 mm 45°",(3.4778372890684+2042.77987300805*R$19)/(1 + 92.0325360155405*R$19 + -108.715774416597*R$19^2),IF($J94="Winkel 13 mm 45°",(1.98154884040722+8559.37423470466*R$19)/(1 + 111.16216889364*R$19 + -73.3088286294707*R$19^2)
)))</f>
        <v>17.95823937995209</v>
      </c>
      <c r="AH94">
        <f>IF($J94="Winkel 8 mm 45°",((3.4778372890684+2042.77987300805*S$19)/(1 + 92.0325360155405*S$19 + -108.715774416597*S$19^2))/1.548,IF($J94="Winkel 10 mm 45°",(3.4778372890684+2042.77987300805*S$19)/(1 + 92.0325360155405*S$19 + -108.715774416597*S$19^2),IF($J94="Winkel 13 mm 45°",(1.98154884040722+8559.37423470466*S$19)/(1 + 111.16216889364*S$19 + -73.3088286294707*S$19^2)
)))</f>
        <v>18.686356245592034</v>
      </c>
      <c r="AI94">
        <f>IF($J94="Winkel 8 mm 45°",((3.4778372890684+2042.77987300805*T$19)/(1 + 92.0325360155405*T$19 + -108.715774416597*T$19^2))/1.548,IF($J94="Winkel 10 mm 45°",(3.4778372890684+2042.77987300805*T$19)/(1 + 92.0325360155405*T$19 + -108.715774416597*T$19^2),IF($J94="Winkel 13 mm 45°",(1.98154884040722+8559.37423470466*T$19)/(1 + 111.16216889364*T$19 + -73.3088286294707*T$19^2)
)))</f>
        <v>19.293441828578189</v>
      </c>
      <c r="AJ94">
        <f>IF($J94="Winkel 8 mm 45°",((3.4778372890684+2042.77987300805*U$19)/(1 + 92.0325360155405*U$19 + -108.715774416597*U$19^2))/1.548,IF($J94="Winkel 10 mm 45°",(3.4778372890684+2042.77987300805*U$19)/(1 + 92.0325360155405*U$19 + -108.715774416597*U$19^2),IF($J94="Winkel 13 mm 45°",(1.98154884040722+8559.37423470466*U$19)/(1 + 111.16216889364*U$19 + -73.3088286294707*U$19^2)
)))</f>
        <v>19.816145167632449</v>
      </c>
      <c r="AK94">
        <f>IF($J94="Winkel 8 mm 45°",((3.4778372890684+2042.77987300805*V$19)/(1 + 92.0325360155405*V$19 + -108.715774416597*V$19^2))/1.548,IF($J94="Winkel 10 mm 45°",(3.4778372890684+2042.77987300805*V$19)/(1 + 92.0325360155405*V$19 + -108.715774416597*V$19^2),IF($J94="Winkel 13 mm 45°",(1.98154884040722+8559.37423470466*V$19)/(1 + 111.16216889364*V$19 + -73.3088286294707*V$19^2)
)))</f>
        <v>20.277955267116067</v>
      </c>
      <c r="AL94">
        <f>IF($J94="Winkel 8 mm 45°",((3.4778372890684+2042.77987300805*W$19)/(1 + 92.0325360155405*W$19 + -108.715774416597*W$19^2))/1.548,IF($J94="Winkel 10 mm 45°",(3.4778372890684+2042.77987300805*W$19)/(1 + 92.0325360155405*W$19 + -108.715774416597*W$19^2),IF($J94="Winkel 13 mm 45°",(1.98154884040722+8559.37423470466*W$19)/(1 + 111.16216889364*W$19 + -73.3088286294707*W$19^2)
)))</f>
        <v>20.694630160184133</v>
      </c>
      <c r="AM94">
        <f>IF($J94="Winkel 8 mm 45°",((3.4778372890684+2042.77987300805*X$19)/(1 + 92.0325360155405*X$19 + -108.715774416597*X$19^2))/1.548,IF($J94="Winkel 10 mm 45°",(3.4778372890684+2042.77987300805*X$19)/(1 + 92.0325360155405*X$19 + -108.715774416597*X$19^2),IF($J94="Winkel 13 mm 45°",(1.98154884040722+8559.37423470466*X$19)/(1 + 111.16216889364*X$19 + -73.3088286294707*X$19^2)
)))</f>
        <v>21.077143506225831</v>
      </c>
      <c r="AN94">
        <f>IF($J94="Winkel 8 mm 45°",((3.4778372890684+2042.77987300805*Y$19)/(1 + 92.0325360155405*Y$19 + -108.715774416597*Y$19^2))/1.548,IF($J94="Winkel 10 mm 45°",(3.4778372890684+2042.77987300805*Y$19)/(1 + 92.0325360155405*Y$19 + -108.715774416597*Y$19^2),IF($J94="Winkel 13 mm 45°",(1.98154884040722+8559.37423470466*Y$19)/(1 + 111.16216889364*Y$19 + -73.3088286294707*Y$19^2)
)))</f>
        <v>21.43337926699753</v>
      </c>
      <c r="AQ94">
        <v>71</v>
      </c>
      <c r="AR94" s="14">
        <v>4.6345966243988839</v>
      </c>
      <c r="AS94" s="13">
        <f t="shared" si="30"/>
        <v>45369.676415107999</v>
      </c>
      <c r="AT94" s="9">
        <v>3.5884958138912912</v>
      </c>
      <c r="AU94" s="13">
        <f t="shared" si="31"/>
        <v>35129.032165627599</v>
      </c>
    </row>
    <row r="95" spans="1:47" x14ac:dyDescent="0.35">
      <c r="A95">
        <f t="shared" si="26"/>
        <v>72</v>
      </c>
      <c r="B95" s="13">
        <f t="shared" si="27"/>
        <v>45349.762015123801</v>
      </c>
      <c r="F95">
        <f t="shared" si="28"/>
        <v>72</v>
      </c>
      <c r="G95" s="13">
        <f t="shared" si="29"/>
        <v>35109.00389361757</v>
      </c>
      <c r="M95" s="1"/>
      <c r="AQ95">
        <v>72</v>
      </c>
      <c r="AR95" s="14">
        <v>4.632562331491453</v>
      </c>
      <c r="AS95" s="13">
        <f t="shared" si="30"/>
        <v>45349.762015123801</v>
      </c>
      <c r="AT95" s="9">
        <v>3.5864498887451441</v>
      </c>
      <c r="AU95" s="13">
        <f t="shared" si="31"/>
        <v>35109.00389361757</v>
      </c>
    </row>
    <row r="96" spans="1:47" x14ac:dyDescent="0.35">
      <c r="A96">
        <f t="shared" si="26"/>
        <v>73</v>
      </c>
      <c r="B96" s="13">
        <f t="shared" si="27"/>
        <v>45329.515734974892</v>
      </c>
      <c r="F96">
        <f t="shared" si="28"/>
        <v>73</v>
      </c>
      <c r="G96" s="13">
        <f t="shared" si="29"/>
        <v>35088.891994085716</v>
      </c>
      <c r="J96" t="s">
        <v>39</v>
      </c>
      <c r="K96">
        <v>3</v>
      </c>
      <c r="AQ96">
        <v>73</v>
      </c>
      <c r="AR96" s="14">
        <v>4.6304941364094283</v>
      </c>
      <c r="AS96" s="13">
        <f t="shared" si="30"/>
        <v>45329.515734974892</v>
      </c>
      <c r="AT96" s="9">
        <v>3.5843954208924811</v>
      </c>
      <c r="AU96" s="13">
        <f t="shared" si="31"/>
        <v>35088.891994085716</v>
      </c>
    </row>
    <row r="97" spans="1:47" x14ac:dyDescent="0.35">
      <c r="A97">
        <f t="shared" si="26"/>
        <v>74</v>
      </c>
      <c r="B97" s="13">
        <f t="shared" si="27"/>
        <v>45308.936703729451</v>
      </c>
      <c r="F97">
        <f t="shared" si="28"/>
        <v>74</v>
      </c>
      <c r="G97" s="13">
        <f t="shared" si="29"/>
        <v>35068.697270640521</v>
      </c>
      <c r="J97" t="s">
        <v>40</v>
      </c>
      <c r="K97">
        <v>0</v>
      </c>
      <c r="AQ97">
        <v>74</v>
      </c>
      <c r="AR97" s="14">
        <v>4.6283919501855095</v>
      </c>
      <c r="AS97" s="13">
        <f t="shared" si="30"/>
        <v>45308.936703729451</v>
      </c>
      <c r="AT97" s="9">
        <v>3.5823324924233986</v>
      </c>
      <c r="AU97" s="13">
        <f t="shared" si="31"/>
        <v>35068.697270640521</v>
      </c>
    </row>
    <row r="98" spans="1:47" x14ac:dyDescent="0.35">
      <c r="A98">
        <f t="shared" si="26"/>
        <v>75</v>
      </c>
      <c r="B98" s="13">
        <f t="shared" si="27"/>
        <v>45288.024060066993</v>
      </c>
      <c r="F98">
        <f t="shared" si="28"/>
        <v>75</v>
      </c>
      <c r="G98" s="13">
        <f t="shared" si="29"/>
        <v>35048.420508389892</v>
      </c>
      <c r="J98" t="s">
        <v>41</v>
      </c>
      <c r="K98">
        <v>0</v>
      </c>
      <c r="AQ98">
        <v>75</v>
      </c>
      <c r="AR98" s="14">
        <v>4.6262556848342102</v>
      </c>
      <c r="AS98" s="13">
        <f t="shared" si="30"/>
        <v>45288.024060066993</v>
      </c>
      <c r="AT98" s="9">
        <v>3.5802611835381275</v>
      </c>
      <c r="AU98" s="13">
        <f t="shared" si="31"/>
        <v>35048.420508389892</v>
      </c>
    </row>
    <row r="99" spans="1:47" x14ac:dyDescent="0.35">
      <c r="A99">
        <f t="shared" si="26"/>
        <v>76</v>
      </c>
      <c r="B99" s="13">
        <f t="shared" si="27"/>
        <v>45266.776952044471</v>
      </c>
      <c r="F99">
        <f t="shared" si="28"/>
        <v>76</v>
      </c>
      <c r="G99" s="13">
        <f t="shared" si="29"/>
        <v>35028.062474608661</v>
      </c>
      <c r="J99" t="s">
        <v>42</v>
      </c>
      <c r="K99">
        <v>3</v>
      </c>
      <c r="AQ99">
        <v>76</v>
      </c>
      <c r="AR99" s="14">
        <v>4.6240852533279666</v>
      </c>
      <c r="AS99" s="13">
        <f t="shared" si="30"/>
        <v>45266.776952044471</v>
      </c>
      <c r="AT99" s="9">
        <v>3.5781815726152137</v>
      </c>
      <c r="AU99" s="13">
        <f t="shared" si="31"/>
        <v>35028.062474608661</v>
      </c>
    </row>
    <row r="100" spans="1:47" x14ac:dyDescent="0.35">
      <c r="A100">
        <f t="shared" si="26"/>
        <v>77</v>
      </c>
      <c r="B100" s="13">
        <f t="shared" si="27"/>
        <v>45245.194536871189</v>
      </c>
      <c r="F100">
        <f t="shared" si="28"/>
        <v>77</v>
      </c>
      <c r="G100" s="13">
        <f t="shared" si="29"/>
        <v>35007.623919373393</v>
      </c>
      <c r="J100" t="s">
        <v>43</v>
      </c>
      <c r="K100">
        <v>0</v>
      </c>
      <c r="AQ100">
        <v>77</v>
      </c>
      <c r="AR100" s="14">
        <v>4.6218805695741461</v>
      </c>
      <c r="AS100" s="13">
        <f t="shared" si="30"/>
        <v>45245.194536871189</v>
      </c>
      <c r="AT100" s="9">
        <v>3.5760937362763721</v>
      </c>
      <c r="AU100" s="13">
        <f t="shared" si="31"/>
        <v>35007.623919373393</v>
      </c>
    </row>
    <row r="101" spans="1:47" x14ac:dyDescent="0.35">
      <c r="A101">
        <f t="shared" si="26"/>
        <v>78</v>
      </c>
      <c r="B101" s="13">
        <f t="shared" si="27"/>
        <v>45223.275980691949</v>
      </c>
      <c r="F101">
        <f t="shared" si="28"/>
        <v>78</v>
      </c>
      <c r="G101" s="13">
        <f t="shared" si="29"/>
        <v>34987.105576166752</v>
      </c>
      <c r="J101" t="s">
        <v>44</v>
      </c>
      <c r="K101">
        <v>0</v>
      </c>
      <c r="AQ101">
        <v>78</v>
      </c>
      <c r="AR101" s="14">
        <v>4.6196415483928934</v>
      </c>
      <c r="AS101" s="13">
        <f t="shared" si="30"/>
        <v>45223.275980691949</v>
      </c>
      <c r="AT101" s="9">
        <v>3.5739977494482167</v>
      </c>
      <c r="AU101" s="13">
        <f t="shared" si="31"/>
        <v>34987.105576166752</v>
      </c>
    </row>
    <row r="102" spans="1:47" x14ac:dyDescent="0.35">
      <c r="A102">
        <f t="shared" si="26"/>
        <v>79</v>
      </c>
      <c r="B102" s="13">
        <f t="shared" si="27"/>
        <v>45201.020458378116</v>
      </c>
      <c r="F102">
        <f t="shared" si="28"/>
        <v>79</v>
      </c>
      <c r="G102" s="13">
        <f t="shared" si="29"/>
        <v>34966.50816245305</v>
      </c>
      <c r="J102" t="s">
        <v>45</v>
      </c>
      <c r="K102">
        <v>2</v>
      </c>
      <c r="AQ102">
        <v>79</v>
      </c>
      <c r="AR102" s="14">
        <v>4.6173681054957871</v>
      </c>
      <c r="AS102" s="13">
        <f t="shared" si="30"/>
        <v>45201.020458378116</v>
      </c>
      <c r="AT102" s="9">
        <v>3.5718936854210579</v>
      </c>
      <c r="AU102" s="13">
        <f t="shared" si="31"/>
        <v>34966.50816245305</v>
      </c>
    </row>
    <row r="103" spans="1:47" x14ac:dyDescent="0.35">
      <c r="A103">
        <f t="shared" si="26"/>
        <v>80</v>
      </c>
      <c r="B103" s="13">
        <f t="shared" si="27"/>
        <v>45178.427153326062</v>
      </c>
      <c r="F103">
        <f t="shared" si="28"/>
        <v>80</v>
      </c>
      <c r="G103" s="13">
        <f t="shared" si="29"/>
        <v>34945.832380226828</v>
      </c>
      <c r="J103" t="s">
        <v>46</v>
      </c>
      <c r="K103">
        <v>0</v>
      </c>
      <c r="AQ103">
        <v>80</v>
      </c>
      <c r="AR103" s="14">
        <v>4.6150601574652521</v>
      </c>
      <c r="AS103" s="13">
        <f t="shared" si="30"/>
        <v>45178.427153326062</v>
      </c>
      <c r="AT103" s="9">
        <v>3.5697816159049403</v>
      </c>
      <c r="AU103" s="13">
        <f t="shared" si="31"/>
        <v>34945.832380226828</v>
      </c>
    </row>
    <row r="104" spans="1:47" x14ac:dyDescent="0.35">
      <c r="A104">
        <f t="shared" si="26"/>
        <v>81</v>
      </c>
      <c r="B104" s="13">
        <f t="shared" si="27"/>
        <v>45155.495257262883</v>
      </c>
      <c r="F104">
        <f t="shared" si="28"/>
        <v>81</v>
      </c>
      <c r="G104" s="13">
        <f t="shared" si="29"/>
        <v>34925.078916535982</v>
      </c>
      <c r="J104" t="s">
        <v>47</v>
      </c>
      <c r="K104">
        <v>0</v>
      </c>
      <c r="AQ104">
        <v>81</v>
      </c>
      <c r="AR104" s="14">
        <v>4.6127176217347117</v>
      </c>
      <c r="AS104" s="13">
        <f t="shared" si="30"/>
        <v>45155.495257262883</v>
      </c>
      <c r="AT104" s="9">
        <v>3.5676616110830817</v>
      </c>
      <c r="AU104" s="13">
        <f t="shared" si="31"/>
        <v>34925.078916535982</v>
      </c>
    </row>
    <row r="105" spans="1:47" x14ac:dyDescent="0.35">
      <c r="A105">
        <f t="shared" si="26"/>
        <v>82</v>
      </c>
      <c r="B105" s="13">
        <f t="shared" si="27"/>
        <v>45132.223970058854</v>
      </c>
      <c r="F105">
        <f t="shared" si="28"/>
        <v>82</v>
      </c>
      <c r="G105" s="13">
        <f t="shared" si="29"/>
        <v>34904.24844398097</v>
      </c>
      <c r="J105" t="s">
        <v>48</v>
      </c>
      <c r="K105">
        <v>2</v>
      </c>
      <c r="AQ105">
        <v>82</v>
      </c>
      <c r="AR105" s="14">
        <v>4.6103404165694286</v>
      </c>
      <c r="AS105" s="13">
        <f t="shared" si="30"/>
        <v>45132.223970058854</v>
      </c>
      <c r="AT105" s="9">
        <v>3.5655337396628672</v>
      </c>
      <c r="AU105" s="13">
        <f t="shared" si="31"/>
        <v>34904.24844398097</v>
      </c>
    </row>
    <row r="106" spans="1:47" x14ac:dyDescent="0.35">
      <c r="A106">
        <f t="shared" si="26"/>
        <v>83</v>
      </c>
      <c r="B106" s="13">
        <f t="shared" si="27"/>
        <v>45108.612499546289</v>
      </c>
      <c r="F106">
        <f t="shared" si="28"/>
        <v>83</v>
      </c>
      <c r="G106" s="13">
        <f t="shared" si="29"/>
        <v>34883.341621191474</v>
      </c>
      <c r="J106" t="s">
        <v>49</v>
      </c>
      <c r="K106">
        <v>0</v>
      </c>
      <c r="AQ106">
        <v>83</v>
      </c>
      <c r="AR106" s="14">
        <v>4.6079284610480045</v>
      </c>
      <c r="AS106" s="13">
        <f t="shared" si="30"/>
        <v>45108.612499546289</v>
      </c>
      <c r="AT106" s="9">
        <v>3.5633980689245406</v>
      </c>
      <c r="AU106" s="13">
        <f t="shared" si="31"/>
        <v>34883.341621191474</v>
      </c>
    </row>
    <row r="107" spans="1:47" x14ac:dyDescent="0.35">
      <c r="A107">
        <f t="shared" si="26"/>
        <v>84</v>
      </c>
      <c r="B107" s="13">
        <f t="shared" si="27"/>
        <v>45084.660061344664</v>
      </c>
      <c r="F107">
        <f t="shared" si="28"/>
        <v>84</v>
      </c>
      <c r="G107" s="13">
        <f t="shared" si="29"/>
        <v>34862.359093281695</v>
      </c>
      <c r="J107" t="s">
        <v>50</v>
      </c>
      <c r="K107">
        <v>0</v>
      </c>
      <c r="AQ107">
        <v>84</v>
      </c>
      <c r="AR107" s="14">
        <v>4.6054816750445147</v>
      </c>
      <c r="AS107" s="13">
        <f t="shared" si="30"/>
        <v>45084.660061344664</v>
      </c>
      <c r="AT107" s="9">
        <v>3.5612546647677141</v>
      </c>
      <c r="AU107" s="13">
        <f t="shared" si="31"/>
        <v>34862.359093281695</v>
      </c>
    </row>
    <row r="108" spans="1:47" x14ac:dyDescent="0.35">
      <c r="A108">
        <f t="shared" si="26"/>
        <v>85</v>
      </c>
      <c r="B108" s="13">
        <f t="shared" si="27"/>
        <v>45060.365878691657</v>
      </c>
      <c r="F108">
        <f t="shared" si="28"/>
        <v>85</v>
      </c>
      <c r="G108" s="13">
        <f t="shared" si="29"/>
        <v>34841.301492285631</v>
      </c>
      <c r="J108" t="s">
        <v>51</v>
      </c>
      <c r="K108">
        <v>0</v>
      </c>
      <c r="AQ108">
        <v>85</v>
      </c>
      <c r="AR108" s="14">
        <v>4.6029999792112442</v>
      </c>
      <c r="AS108" s="13">
        <f t="shared" si="30"/>
        <v>45060.365878691657</v>
      </c>
      <c r="AT108" s="9">
        <v>3.5591035917558336</v>
      </c>
      <c r="AU108" s="13">
        <f t="shared" si="31"/>
        <v>34841.301492285631</v>
      </c>
    </row>
    <row r="109" spans="1:47" x14ac:dyDescent="0.35">
      <c r="A109">
        <f t="shared" si="26"/>
        <v>86</v>
      </c>
      <c r="B109" s="13">
        <f t="shared" si="27"/>
        <v>45035.72918227964</v>
      </c>
      <c r="F109">
        <f t="shared" si="28"/>
        <v>86</v>
      </c>
      <c r="G109" s="13">
        <f t="shared" si="29"/>
        <v>34820.169437573335</v>
      </c>
      <c r="J109" t="s">
        <v>52</v>
      </c>
      <c r="K109">
        <v>0</v>
      </c>
      <c r="AQ109">
        <v>86</v>
      </c>
      <c r="AR109" s="14">
        <v>4.6004832949619949</v>
      </c>
      <c r="AS109" s="13">
        <f t="shared" si="30"/>
        <v>45035.72918227964</v>
      </c>
      <c r="AT109" s="9">
        <v>3.556944913158699</v>
      </c>
      <c r="AU109" s="13">
        <f t="shared" si="31"/>
        <v>34820.169437573335</v>
      </c>
    </row>
    <row r="110" spans="1:47" x14ac:dyDescent="0.35">
      <c r="A110">
        <f t="shared" si="26"/>
        <v>87</v>
      </c>
      <c r="B110" s="13">
        <f t="shared" si="27"/>
        <v>45010.749210097849</v>
      </c>
      <c r="F110">
        <f t="shared" si="28"/>
        <v>87</v>
      </c>
      <c r="G110" s="13">
        <f t="shared" si="29"/>
        <v>34798.963536249248</v>
      </c>
      <c r="J110" t="s">
        <v>53</v>
      </c>
      <c r="K110">
        <v>0</v>
      </c>
      <c r="AQ110">
        <v>87</v>
      </c>
      <c r="AR110" s="14">
        <v>4.5979315444559505</v>
      </c>
      <c r="AS110" s="13">
        <f t="shared" si="30"/>
        <v>45010.749210097849</v>
      </c>
      <c r="AT110" s="9">
        <v>3.5547786909931545</v>
      </c>
      <c r="AU110" s="13">
        <f t="shared" si="31"/>
        <v>34798.963536249248</v>
      </c>
    </row>
    <row r="111" spans="1:47" x14ac:dyDescent="0.35">
      <c r="A111">
        <f t="shared" si="26"/>
        <v>88</v>
      </c>
      <c r="B111" s="13">
        <f t="shared" si="27"/>
        <v>44985.425207279339</v>
      </c>
      <c r="F111">
        <f t="shared" si="28"/>
        <v>88</v>
      </c>
      <c r="G111" s="13">
        <f t="shared" si="29"/>
        <v>34777.684383533495</v>
      </c>
      <c r="J111" t="s">
        <v>54</v>
      </c>
      <c r="K111">
        <v>0</v>
      </c>
      <c r="AQ111">
        <v>88</v>
      </c>
      <c r="AR111" s="14">
        <v>4.5953446505820539</v>
      </c>
      <c r="AS111" s="13">
        <f t="shared" si="30"/>
        <v>44985.425207279339</v>
      </c>
      <c r="AT111" s="9">
        <v>3.5526049860620428</v>
      </c>
      <c r="AU111" s="13">
        <f t="shared" si="31"/>
        <v>34777.684383533495</v>
      </c>
    </row>
    <row r="112" spans="1:47" x14ac:dyDescent="0.35">
      <c r="A112">
        <f t="shared" si="26"/>
        <v>89</v>
      </c>
      <c r="B112" s="13">
        <f t="shared" si="27"/>
        <v>44959.756425953172</v>
      </c>
      <c r="F112">
        <f t="shared" si="28"/>
        <v>89</v>
      </c>
      <c r="G112" s="13">
        <f t="shared" si="29"/>
        <v>34756.332563127275</v>
      </c>
      <c r="J112" t="s">
        <v>55</v>
      </c>
      <c r="K112">
        <v>0</v>
      </c>
      <c r="AQ112">
        <v>89</v>
      </c>
      <c r="AR112" s="14">
        <v>4.5927225369438993</v>
      </c>
      <c r="AS112" s="13">
        <f t="shared" si="30"/>
        <v>44959.756425953172</v>
      </c>
      <c r="AT112" s="9">
        <v>3.5504238579915217</v>
      </c>
      <c r="AU112" s="13">
        <f t="shared" si="31"/>
        <v>34756.332563127275</v>
      </c>
    </row>
    <row r="113" spans="1:47" x14ac:dyDescent="0.35">
      <c r="A113">
        <f t="shared" si="26"/>
        <v>90</v>
      </c>
      <c r="B113" s="13">
        <f t="shared" si="27"/>
        <v>44933.742125101067</v>
      </c>
      <c r="F113">
        <f t="shared" si="28"/>
        <v>90</v>
      </c>
      <c r="G113" s="13">
        <f t="shared" si="29"/>
        <v>34734.908647562843</v>
      </c>
      <c r="J113" t="s">
        <v>56</v>
      </c>
      <c r="K113">
        <v>0</v>
      </c>
      <c r="AQ113">
        <v>90</v>
      </c>
      <c r="AR113" s="14">
        <v>4.5900651278450963</v>
      </c>
      <c r="AS113" s="13">
        <f t="shared" si="30"/>
        <v>44933.742125101067</v>
      </c>
      <c r="AT113" s="9">
        <v>3.5482353652668244</v>
      </c>
      <c r="AU113" s="13">
        <f t="shared" si="31"/>
        <v>34734.908647562843</v>
      </c>
    </row>
    <row r="114" spans="1:47" x14ac:dyDescent="0.35">
      <c r="A114">
        <f t="shared" si="26"/>
        <v>91</v>
      </c>
      <c r="B114" s="13">
        <f t="shared" si="27"/>
        <v>44907.381570418729</v>
      </c>
      <c r="F114">
        <f t="shared" si="28"/>
        <v>91</v>
      </c>
      <c r="G114" s="13">
        <f t="shared" si="29"/>
        <v>34713.413198539194</v>
      </c>
      <c r="J114" t="s">
        <v>57</v>
      </c>
      <c r="K114">
        <v>2</v>
      </c>
      <c r="AQ114">
        <v>91</v>
      </c>
      <c r="AR114" s="14">
        <v>4.5873723482750979</v>
      </c>
      <c r="AS114" s="13">
        <f t="shared" si="30"/>
        <v>44907.381570418729</v>
      </c>
      <c r="AT114" s="9">
        <v>3.546039565266546</v>
      </c>
      <c r="AU114" s="13">
        <f t="shared" si="31"/>
        <v>34713.413198539194</v>
      </c>
    </row>
    <row r="115" spans="1:47" x14ac:dyDescent="0.35">
      <c r="A115">
        <f t="shared" si="26"/>
        <v>92</v>
      </c>
      <c r="B115" s="13">
        <f t="shared" si="27"/>
        <v>44880.674034181364</v>
      </c>
      <c r="F115">
        <f t="shared" si="28"/>
        <v>92</v>
      </c>
      <c r="G115" s="13">
        <f t="shared" si="29"/>
        <v>34691.846767244082</v>
      </c>
      <c r="J115" t="s">
        <v>58</v>
      </c>
      <c r="K115">
        <v>0</v>
      </c>
      <c r="AQ115">
        <v>92</v>
      </c>
      <c r="AR115" s="14">
        <v>4.5846441238954663</v>
      </c>
      <c r="AS115" s="13">
        <f t="shared" si="30"/>
        <v>44880.674034181364</v>
      </c>
      <c r="AT115" s="9">
        <v>3.5438365142955366</v>
      </c>
      <c r="AU115" s="13">
        <f t="shared" si="31"/>
        <v>34691.846767244082</v>
      </c>
    </row>
    <row r="116" spans="1:47" x14ac:dyDescent="0.35">
      <c r="A116">
        <f t="shared" si="26"/>
        <v>93</v>
      </c>
      <c r="B116" s="13">
        <f t="shared" si="27"/>
        <v>44853.618795113405</v>
      </c>
      <c r="F116">
        <f t="shared" si="28"/>
        <v>93</v>
      </c>
      <c r="G116" s="13">
        <f t="shared" si="29"/>
        <v>34670.20989466297</v>
      </c>
      <c r="J116" t="s">
        <v>59</v>
      </c>
      <c r="K116">
        <v>0</v>
      </c>
      <c r="AQ116">
        <v>93</v>
      </c>
      <c r="AR116" s="14">
        <v>4.581880381026564</v>
      </c>
      <c r="AS116" s="13">
        <f t="shared" si="30"/>
        <v>44853.618795113405</v>
      </c>
      <c r="AT116" s="9">
        <v>3.5416262676164671</v>
      </c>
      <c r="AU116" s="13">
        <f t="shared" si="31"/>
        <v>34670.20989466297</v>
      </c>
    </row>
    <row r="117" spans="1:47" x14ac:dyDescent="0.35">
      <c r="A117">
        <f t="shared" si="26"/>
        <v>94</v>
      </c>
      <c r="B117" s="13">
        <f t="shared" si="27"/>
        <v>44826.215138262196</v>
      </c>
      <c r="F117">
        <f t="shared" si="28"/>
        <v>94</v>
      </c>
      <c r="G117" s="13">
        <f t="shared" si="29"/>
        <v>34648.503111875805</v>
      </c>
      <c r="J117" t="s">
        <v>60</v>
      </c>
      <c r="K117">
        <v>0</v>
      </c>
      <c r="AQ117">
        <v>94</v>
      </c>
      <c r="AR117" s="14">
        <v>4.5790810466346503</v>
      </c>
      <c r="AS117" s="13">
        <f t="shared" si="30"/>
        <v>44826.215138262196</v>
      </c>
      <c r="AT117" s="9">
        <v>3.5394088794801384</v>
      </c>
      <c r="AU117" s="13">
        <f t="shared" si="31"/>
        <v>34648.503111875805</v>
      </c>
    </row>
    <row r="118" spans="1:47" x14ac:dyDescent="0.35">
      <c r="A118">
        <f t="shared" si="26"/>
        <v>95</v>
      </c>
      <c r="B118" s="13">
        <f t="shared" si="27"/>
        <v>44798.462354875395</v>
      </c>
      <c r="F118">
        <f t="shared" si="28"/>
        <v>95</v>
      </c>
      <c r="G118" s="13">
        <f t="shared" si="29"/>
        <v>34626.726940341949</v>
      </c>
      <c r="J118" t="s">
        <v>61</v>
      </c>
      <c r="K118">
        <v>0</v>
      </c>
      <c r="AQ118">
        <v>95</v>
      </c>
      <c r="AR118" s="14">
        <v>4.5762460483193586</v>
      </c>
      <c r="AS118" s="13">
        <f t="shared" si="30"/>
        <v>44798.462354875395</v>
      </c>
      <c r="AT118" s="9">
        <v>3.5371844031545905</v>
      </c>
      <c r="AU118" s="13">
        <f t="shared" si="31"/>
        <v>34626.726940341949</v>
      </c>
    </row>
    <row r="119" spans="1:47" x14ac:dyDescent="0.35">
      <c r="A119">
        <f t="shared" si="26"/>
        <v>96</v>
      </c>
      <c r="B119" s="13">
        <f t="shared" si="27"/>
        <v>44770.359742282126</v>
      </c>
      <c r="F119">
        <f t="shared" si="28"/>
        <v>96</v>
      </c>
      <c r="G119" s="13">
        <f t="shared" si="29"/>
        <v>34604.881892174082</v>
      </c>
      <c r="J119" t="s">
        <v>62</v>
      </c>
      <c r="K119">
        <v>0</v>
      </c>
      <c r="AQ119">
        <v>96</v>
      </c>
      <c r="AR119" s="14">
        <v>4.5733753143015559</v>
      </c>
      <c r="AS119" s="13">
        <f t="shared" si="30"/>
        <v>44770.359742282126</v>
      </c>
      <c r="AT119" s="9">
        <v>3.5349528909530861</v>
      </c>
      <c r="AU119" s="13">
        <f t="shared" si="31"/>
        <v>34604.881892174082</v>
      </c>
    </row>
    <row r="120" spans="1:47" x14ac:dyDescent="0.35">
      <c r="A120">
        <f t="shared" si="26"/>
        <v>97</v>
      </c>
      <c r="B120" s="13">
        <f t="shared" si="27"/>
        <v>44741.906603777614</v>
      </c>
      <c r="F120">
        <f t="shared" si="28"/>
        <v>97</v>
      </c>
      <c r="G120" s="13">
        <f t="shared" si="29"/>
        <v>34582.968470401524</v>
      </c>
      <c r="AQ120">
        <v>97</v>
      </c>
      <c r="AR120" s="14">
        <v>4.5704687734115561</v>
      </c>
      <c r="AS120" s="13">
        <f t="shared" si="30"/>
        <v>44741.906603777614</v>
      </c>
      <c r="AT120" s="9">
        <v>3.5327143942610024</v>
      </c>
      <c r="AU120" s="13">
        <f t="shared" si="31"/>
        <v>34582.968470401524</v>
      </c>
    </row>
    <row r="121" spans="1:47" x14ac:dyDescent="0.35">
      <c r="A121">
        <f t="shared" si="26"/>
        <v>98</v>
      </c>
      <c r="B121" s="13">
        <f t="shared" si="27"/>
        <v>44713.102248511132</v>
      </c>
      <c r="F121">
        <f t="shared" si="28"/>
        <v>98</v>
      </c>
      <c r="G121" s="13">
        <f t="shared" si="29"/>
        <v>34560.987169223474</v>
      </c>
      <c r="AQ121">
        <v>98</v>
      </c>
      <c r="AR121" s="14">
        <v>4.5675263550776766</v>
      </c>
      <c r="AS121" s="13">
        <f t="shared" si="30"/>
        <v>44713.102248511132</v>
      </c>
      <c r="AT121" s="9">
        <v>3.5304689635617046</v>
      </c>
      <c r="AU121" s="13">
        <f t="shared" si="31"/>
        <v>34560.987169223474</v>
      </c>
    </row>
    <row r="122" spans="1:47" x14ac:dyDescent="0.35">
      <c r="A122">
        <f t="shared" si="26"/>
        <v>99</v>
      </c>
      <c r="B122" s="13">
        <f t="shared" si="27"/>
        <v>44683.945991377208</v>
      </c>
      <c r="F122">
        <f t="shared" si="28"/>
        <v>99</v>
      </c>
      <c r="G122" s="13">
        <f t="shared" si="29"/>
        <v>34538.938474252674</v>
      </c>
      <c r="L122" s="12" t="s">
        <v>12</v>
      </c>
      <c r="M122" s="10">
        <f>M71*$K96+M72*$K97+M73*$K98+M74*$K99+M75*$K100+M76*$K101+M77*$K102+M78*$K103+M79*$K104+M80*$K105+M81*$K106+M82*$K107+M83*$K108+M84*$K109+M85*$K110+M86*$K111+M87*$K112+M88*$K113+M89*$K114+M90*$K115+M91*$K116+M92*$K117+M93*$K118+M94*$K119</f>
        <v>0</v>
      </c>
      <c r="N122" s="10">
        <f t="shared" ref="N122:Y122" si="34">N71*$K96+N72*$K97+N73*$K98+N74*$K99+N75*$K100+N76*$K101+N77*$K102+N78*$K103+N79*$K104+N80*$K105+N81*$K106+N82*$K107+N83*$K108+N84*$K109+N85*$K110+N86*$K111+N87*$K112+N88*$K113+N89*$K114+N90*$K115+N91*$K116+N92*$K117+N93*$K118+N94*$K119</f>
        <v>224.06720488293541</v>
      </c>
      <c r="O122" s="10">
        <f t="shared" si="34"/>
        <v>881.78589371639919</v>
      </c>
      <c r="P122" s="10">
        <f t="shared" si="34"/>
        <v>1866.1586827375954</v>
      </c>
      <c r="Q122" s="10">
        <f t="shared" si="34"/>
        <v>3186.300446234116</v>
      </c>
      <c r="R122" s="10">
        <f t="shared" si="34"/>
        <v>4825.7072435465616</v>
      </c>
      <c r="S122" s="10">
        <f t="shared" si="34"/>
        <v>6772.4281644776702</v>
      </c>
      <c r="T122" s="10">
        <f t="shared" si="34"/>
        <v>9017.7315099402513</v>
      </c>
      <c r="U122" s="10">
        <f t="shared" si="34"/>
        <v>11555.206325576828</v>
      </c>
      <c r="V122" s="10">
        <f t="shared" si="34"/>
        <v>14380.175145967003</v>
      </c>
      <c r="W122" s="10">
        <f t="shared" si="34"/>
        <v>17489.302752342235</v>
      </c>
      <c r="X122" s="10">
        <f t="shared" si="34"/>
        <v>20880.328409249727</v>
      </c>
      <c r="Y122" s="10">
        <f t="shared" si="34"/>
        <v>24551.877927295958</v>
      </c>
      <c r="AQ122">
        <v>99</v>
      </c>
      <c r="AR122" s="14">
        <v>4.5645479893151206</v>
      </c>
      <c r="AS122" s="13">
        <f t="shared" si="30"/>
        <v>44683.945991377208</v>
      </c>
      <c r="AT122" s="9">
        <v>3.5282166484614357</v>
      </c>
      <c r="AU122" s="13">
        <f t="shared" si="31"/>
        <v>34538.938474252674</v>
      </c>
    </row>
    <row r="123" spans="1:47" x14ac:dyDescent="0.35">
      <c r="A123">
        <f t="shared" si="26"/>
        <v>100</v>
      </c>
      <c r="B123" s="13">
        <f t="shared" si="27"/>
        <v>44654.437152909959</v>
      </c>
      <c r="F123">
        <f t="shared" si="28"/>
        <v>100</v>
      </c>
      <c r="G123" s="13">
        <f t="shared" si="29"/>
        <v>34516.822862749956</v>
      </c>
      <c r="AQ123">
        <v>100</v>
      </c>
      <c r="AR123" s="14">
        <v>4.561533606715189</v>
      </c>
      <c r="AS123" s="13">
        <f t="shared" si="30"/>
        <v>44654.437152909959</v>
      </c>
      <c r="AT123" s="9">
        <v>3.525957497713275</v>
      </c>
      <c r="AU123" s="13">
        <f t="shared" si="31"/>
        <v>34516.822862749956</v>
      </c>
    </row>
    <row r="124" spans="1:47" x14ac:dyDescent="0.35">
      <c r="A124">
        <f t="shared" si="26"/>
        <v>101</v>
      </c>
      <c r="B124" s="13">
        <f t="shared" si="27"/>
        <v>44624.575059180403</v>
      </c>
      <c r="F124">
        <f t="shared" si="28"/>
        <v>101</v>
      </c>
      <c r="G124" s="13">
        <f t="shared" si="29"/>
        <v>34494.640803850118</v>
      </c>
      <c r="I124" s="1" t="s">
        <v>38</v>
      </c>
      <c r="J124" s="2" t="s">
        <v>65</v>
      </c>
      <c r="AQ124">
        <v>101</v>
      </c>
      <c r="AR124" s="14">
        <v>4.5584831384347853</v>
      </c>
      <c r="AS124" s="13">
        <f t="shared" si="30"/>
        <v>44624.575059180403</v>
      </c>
      <c r="AT124" s="9">
        <v>3.5236915592402118</v>
      </c>
      <c r="AU124" s="13">
        <f t="shared" si="31"/>
        <v>34494.640803850118</v>
      </c>
    </row>
    <row r="125" spans="1:47" x14ac:dyDescent="0.35">
      <c r="A125">
        <f t="shared" si="26"/>
        <v>102</v>
      </c>
      <c r="B125" s="13">
        <f t="shared" si="27"/>
        <v>44594.359041696604</v>
      </c>
      <c r="F125">
        <f t="shared" si="28"/>
        <v>102</v>
      </c>
      <c r="G125" s="13">
        <f t="shared" si="29"/>
        <v>34472.392758779468</v>
      </c>
      <c r="L125" s="4" t="s">
        <v>78</v>
      </c>
      <c r="M125" s="1">
        <v>0</v>
      </c>
      <c r="N125" s="1">
        <v>8.0000000000000002E-3</v>
      </c>
      <c r="O125" s="1">
        <v>1.4E-2</v>
      </c>
      <c r="P125" s="1">
        <v>0.02</v>
      </c>
      <c r="Q125" s="1">
        <v>2.5999999999999999E-2</v>
      </c>
      <c r="R125" s="1">
        <v>3.2000000000000001E-2</v>
      </c>
      <c r="S125" s="1">
        <v>3.7999999999999999E-2</v>
      </c>
      <c r="T125" s="1">
        <v>4.3999999999999997E-2</v>
      </c>
      <c r="U125" s="1">
        <v>0.05</v>
      </c>
      <c r="V125" s="1">
        <v>5.6000000000000001E-2</v>
      </c>
      <c r="W125" s="1">
        <v>6.2E-2</v>
      </c>
      <c r="X125" s="1">
        <v>6.8000000000000005E-2</v>
      </c>
      <c r="Y125" s="1">
        <v>7.3999999999999996E-2</v>
      </c>
      <c r="AQ125">
        <v>102</v>
      </c>
      <c r="AR125" s="14">
        <v>4.5553965161862164</v>
      </c>
      <c r="AS125" s="13">
        <f t="shared" si="30"/>
        <v>44594.359041696604</v>
      </c>
      <c r="AT125" s="9">
        <v>3.5214188801573703</v>
      </c>
      <c r="AU125" s="13">
        <f t="shared" si="31"/>
        <v>34472.392758779468</v>
      </c>
    </row>
    <row r="126" spans="1:47" x14ac:dyDescent="0.35">
      <c r="A126">
        <f t="shared" si="26"/>
        <v>103</v>
      </c>
      <c r="B126" s="13">
        <f t="shared" si="27"/>
        <v>44563.788437306626</v>
      </c>
      <c r="F126">
        <f t="shared" si="28"/>
        <v>103</v>
      </c>
      <c r="G126" s="13">
        <f t="shared" si="29"/>
        <v>34450.079181065492</v>
      </c>
      <c r="I126" s="1">
        <v>1</v>
      </c>
      <c r="J126" t="s">
        <v>66</v>
      </c>
      <c r="K126">
        <f>IF($J126="Schlauch 8 mm 0,5 Meter",8,IF($J126="Schlauch 10 mm 0,5 Meter",10,IF($J126="Schlauch 13 mm 0,5 Meter",13,IF($J126="PETG Rohr 8 mm 0,5 Meter",8,IF($J126="PETG Rohr 10 mm 0,5 Meter",10,IF($J126="PETG Rohr 13 mm 0,5 Meter",13,IF($J126="CU Rohr 8 mm 0,5 Meter",8,IF($J126="CU Rohr 10 mm 0,5 Meter",10,IF($J126="CU Rohr 13 mm 0,5 Meter",13)))))))))</f>
        <v>10</v>
      </c>
      <c r="L126" s="4" t="s">
        <v>12</v>
      </c>
      <c r="M126" s="1">
        <v>0</v>
      </c>
      <c r="N126" s="10">
        <f>IF(N$19*1000^2/($M$16*($K126/2000)^2*PI())*($K126/1000)/$O$16&lt;2320,(64*500*1000*$M$16*(N$19/($M$16*($K126/2000)^2*PI()))^2)/((N$19*1000^2/($M$16*($K126/2000)^2*PI())*($K126/1000)/$O$16)*1000*$K126*2)*AC126,(0.3164*500*1000*$M$16*(N$19/($M$16*($K126/2000)^2*PI()))^2)/(((N$19*1000^2/($M$16*($K126/2000)^2*PI())*($K126/1000)/$O$16))^0.25*1000*$K126*2)*AC126)</f>
        <v>27.145999467252636</v>
      </c>
      <c r="O126" s="10">
        <f>IF(O$19*1000^2/($M$16*($K126/2000)^2*PI())*($K126/1000)/$O$16&lt;2320,(64*500*1000*$M$16*(O$19/($M$16*($K126/2000)^2*PI()))^2)/((O$19*1000^2/($M$16*($K126/2000)^2*PI())*($K126/1000)/$O$16)*1000*$K126*2)*AD126,(0.3164*500*1000*$M$16*(O$19/($M$16*($K126/2000)^2*PI()))^2)/(((O$19*1000^2/($M$16*($K126/2000)^2*PI())*($K126/1000)/$O$16))^0.25*1000*$K126*2)*AD126)</f>
        <v>82.439024603714259</v>
      </c>
      <c r="P126" s="10">
        <f>IF(P$19*1000^2/($M$16*($K126/2000)^2*PI())*($K126/1000)/$O$16&lt;2320,(64*500*1000*$M$16*(P$19/($M$16*($K126/2000)^2*PI()))^2)/((P$19*1000^2/($M$16*($K126/2000)^2*PI())*($K126/1000)/$O$16)*1000*$K126*2)*AE126,(0.3164*500*1000*$M$16*(P$19/($M$16*($K126/2000)^2*PI()))^2)/(((P$19*1000^2/($M$16*($K126/2000)^2*PI())*($K126/1000)/$O$16))^0.25*1000*$K126*2)*AE126)</f>
        <v>153.89031005468519</v>
      </c>
      <c r="Q126" s="10">
        <f>IF(Q$19*1000^2/($M$16*($K126/2000)^2*PI())*($K126/1000)/$O$16&lt;2320,(64*500*1000*$M$16*(Q$19/($M$16*($K126/2000)^2*PI()))^2)/((Q$19*1000^2/($M$16*($K126/2000)^2*PI())*($K126/1000)/$O$16)*1000*$K126*2)*AF126,(0.3164*500*1000*$M$16*(Q$19/($M$16*($K126/2000)^2*PI()))^2)/(((Q$19*1000^2/($M$16*($K126/2000)^2*PI())*($K126/1000)/$O$16))^0.25*1000*$K126*2)*AF126)</f>
        <v>243.56346352886044</v>
      </c>
      <c r="R126" s="10">
        <f>IF(R$19*1000^2/($M$16*($K126/2000)^2*PI())*($K126/1000)/$O$16&lt;2320,(64*500*1000*$M$16*(R$19/($M$16*($K126/2000)^2*PI()))^2)/((R$19*1000^2/($M$16*($K126/2000)^2*PI())*($K126/1000)/$O$16)*1000*$K126*2)*AG126,(0.3164*500*1000*$M$16*(R$19/($M$16*($K126/2000)^2*PI()))^2)/(((R$19*1000^2/($M$16*($K126/2000)^2*PI())*($K126/1000)/$O$16))^0.25*1000*$K126*2)*AG126)</f>
        <v>350.2847613116831</v>
      </c>
      <c r="S126" s="10">
        <f>IF(S$19*1000^2/($M$16*($K126/2000)^2*PI())*($K126/1000)/$O$16&lt;2320,(64*500*1000*$M$16*(S$19/($M$16*($K126/2000)^2*PI()))^2)/((S$19*1000^2/($M$16*($K126/2000)^2*PI())*($K126/1000)/$O$16)*1000*$K126*2)*AH126,(0.3164*500*1000*$M$16*(S$19/($M$16*($K126/2000)^2*PI()))^2)/(((S$19*1000^2/($M$16*($K126/2000)^2*PI())*($K126/1000)/$O$16))^0.25*1000*$K126*2)*AH126)</f>
        <v>473.18402738107005</v>
      </c>
      <c r="T126" s="10">
        <f>IF(T$19*1000^2/($M$16*($K126/2000)^2*PI())*($K126/1000)/$O$16&lt;2320,(64*500*1000*$M$16*(T$19/($M$16*($K126/2000)^2*PI()))^2)/((T$19*1000^2/($M$16*($K126/2000)^2*PI())*($K126/1000)/$O$16)*1000*$K126*2)*AI126,(0.3164*500*1000*$M$16*(T$19/($M$16*($K126/2000)^2*PI()))^2)/(((T$19*1000^2/($M$16*($K126/2000)^2*PI())*($K126/1000)/$O$16))^0.25*1000*$K126*2)*AI126)</f>
        <v>611.57674914540632</v>
      </c>
      <c r="U126" s="10">
        <f>IF(U$19*1000^2/($M$16*($K126/2000)^2*PI())*($K126/1000)/$O$16&lt;2320,(64*500*1000*$M$16*(U$19/($M$16*($K126/2000)^2*PI()))^2)/((U$19*1000^2/($M$16*($K126/2000)^2*PI())*($K126/1000)/$O$16)*1000*$K126*2)*AJ126,(0.3164*500*1000*$M$16*(U$19/($M$16*($K126/2000)^2*PI()))^2)/(((U$19*1000^2/($M$16*($K126/2000)^2*PI())*($K126/1000)/$O$16))^0.25*1000*$K126*2)*AJ126)</f>
        <v>764.90286892110566</v>
      </c>
      <c r="V126" s="10">
        <f>IF(V$19*1000^2/($M$16*($K126/2000)^2*PI())*($K126/1000)/$O$16&lt;2320,(64*500*1000*$M$16*(V$19/($M$16*($K126/2000)^2*PI()))^2)/((V$19*1000^2/($M$16*($K126/2000)^2*PI())*($K126/1000)/$O$16)*1000*$K126*2)*AK126,(0.3164*500*1000*$M$16*(V$19/($M$16*($K126/2000)^2*PI()))^2)/(((V$19*1000^2/($M$16*($K126/2000)^2*PI())*($K126/1000)/$O$16))^0.25*1000*$K126*2)*AK126)</f>
        <v>932.69109330705589</v>
      </c>
      <c r="W126" s="10">
        <f>IF(W$19*1000^2/($M$16*($K126/2000)^2*PI())*($K126/1000)/$O$16&lt;2320,(64*500*1000*$M$16*(W$19/($M$16*($K126/2000)^2*PI()))^2)/((W$19*1000^2/($M$16*($K126/2000)^2*PI())*($K126/1000)/$O$16)*1000*$K126*2)*AL126,(0.3164*500*1000*$M$16*(W$19/($M$16*($K126/2000)^2*PI()))^2)/(((W$19*1000^2/($M$16*($K126/2000)^2*PI())*($K126/1000)/$O$16))^0.25*1000*$K126*2)*AL126)</f>
        <v>1114.5363539540324</v>
      </c>
      <c r="X126" s="10">
        <f>IF(X$19*1000^2/($M$16*($K126/2000)^2*PI())*($K126/1000)/$O$16&lt;2320,(64*500*1000*$M$16*(X$19/($M$16*($K126/2000)^2*PI()))^2)/((X$19*1000^2/($M$16*($K126/2000)^2*PI())*($K126/1000)/$O$16)*1000*$K126*2)*AM126,(0.3164*500*1000*$M$16*(X$19/($M$16*($K126/2000)^2*PI()))^2)/(((X$19*1000^2/($M$16*($K126/2000)^2*PI())*($K126/1000)/$O$16))^0.25*1000*$K126*2)*AM126)</f>
        <v>1310.084714411021</v>
      </c>
      <c r="Y126" s="10">
        <f>IF(Y$19*1000^2/($M$16*($K126/2000)^2*PI())*($K126/1000)/$O$16&lt;2320,(64*500*1000*$M$16*(Y$19/($M$16*($K126/2000)^2*PI()))^2)/((Y$19*1000^2/($M$16*($K126/2000)^2*PI())*($K126/1000)/$O$16)*1000*$K126*2)*AN126,(0.3164*500*1000*$M$16*(Y$19/($M$16*($K126/2000)^2*PI()))^2)/(((Y$19*1000^2/($M$16*($K126/2000)^2*PI())*($K126/1000)/$O$16))^0.25*1000*$K126*2)*AN126)</f>
        <v>1519.0227973944825</v>
      </c>
      <c r="AB126">
        <f>IF(AND($J126="Schlauch 8 mm 0,5 Meter",M$19*1000^2/($M$16*($K71/2000)^2*PI())*($K71/1000)/$O$16&gt;1000),2.3,IF(AND($J126="Schlauch 10 mm 0,5 Meter",M$19*1000^2/($M$16*($K71/2000)^2*PI())*($K71/1000)/$O$16&gt;1000),2.3,IF(AND($J126="Schlauch 13 mm 0,5 Meter",M$19*1000^2/($M$16*($K71/2000)^2*PI())*($K71/1000)/$O$16&gt;1000),2.3,1)))</f>
        <v>1</v>
      </c>
      <c r="AC126">
        <f>IF(AND($J126="Schlauch 8 mm 0,5 Meter",N$19*1000^2/($M$16*($K71/2000)^2*PI())*($K71/1000)/$O$16&gt;1000),2.3,IF(AND($J126="Schlauch 10 mm 0,5 Meter",N$19*1000^2/($M$16*($K71/2000)^2*PI())*($K71/1000)/$O$16&gt;1000),2.3,IF(AND($J126="Schlauch 13 mm 0,5 Meter",N$19*1000^2/($M$16*($K71/2000)^2*PI())*($K71/1000)/$O$16&gt;1000),2.3,1)))</f>
        <v>2.2999999999999998</v>
      </c>
      <c r="AD126">
        <f>IF(AND($J126="Schlauch 8 mm 0,5 Meter",O$19*1000^2/($M$16*($K71/2000)^2*PI())*($K71/1000)/$O$16&gt;1000),2.3,IF(AND($J126="Schlauch 10 mm 0,5 Meter",O$19*1000^2/($M$16*($K71/2000)^2*PI())*($K71/1000)/$O$16&gt;1000),2.3,IF(AND($J126="Schlauch 13 mm 0,5 Meter",O$19*1000^2/($M$16*($K71/2000)^2*PI())*($K71/1000)/$O$16&gt;1000),2.3,1)))</f>
        <v>2.2999999999999998</v>
      </c>
      <c r="AE126">
        <f>IF(AND($J126="Schlauch 8 mm 0,5 Meter",P$19*1000^2/($M$16*($K71/2000)^2*PI())*($K71/1000)/$O$16&gt;1000),2.3,IF(AND($J126="Schlauch 10 mm 0,5 Meter",P$19*1000^2/($M$16*($K71/2000)^2*PI())*($K71/1000)/$O$16&gt;1000),2.3,IF(AND($J126="Schlauch 13 mm 0,5 Meter",P$19*1000^2/($M$16*($K71/2000)^2*PI())*($K71/1000)/$O$16&gt;1000),2.3,1)))</f>
        <v>2.2999999999999998</v>
      </c>
      <c r="AF126">
        <f>IF(AND($J126="Schlauch 8 mm 0,5 Meter",Q$19*1000^2/($M$16*($K71/2000)^2*PI())*($K71/1000)/$O$16&gt;1000),2.3,IF(AND($J126="Schlauch 10 mm 0,5 Meter",Q$19*1000^2/($M$16*($K71/2000)^2*PI())*($K71/1000)/$O$16&gt;1000),2.3,IF(AND($J126="Schlauch 13 mm 0,5 Meter",Q$19*1000^2/($M$16*($K71/2000)^2*PI())*($K71/1000)/$O$16&gt;1000),2.3,1)))</f>
        <v>2.2999999999999998</v>
      </c>
      <c r="AG126">
        <f>IF(AND($J126="Schlauch 8 mm 0,5 Meter",R$19*1000^2/($M$16*($K71/2000)^2*PI())*($K71/1000)/$O$16&gt;1000),2.3,IF(AND($J126="Schlauch 10 mm 0,5 Meter",R$19*1000^2/($M$16*($K71/2000)^2*PI())*($K71/1000)/$O$16&gt;1000),2.3,IF(AND($J126="Schlauch 13 mm 0,5 Meter",R$19*1000^2/($M$16*($K71/2000)^2*PI())*($K71/1000)/$O$16&gt;1000),2.3,1)))</f>
        <v>2.2999999999999998</v>
      </c>
      <c r="AH126">
        <f>IF(AND($J126="Schlauch 8 mm 0,5 Meter",S$19*1000^2/($M$16*($K71/2000)^2*PI())*($K71/1000)/$O$16&gt;1000),2.3,IF(AND($J126="Schlauch 10 mm 0,5 Meter",S$19*1000^2/($M$16*($K71/2000)^2*PI())*($K71/1000)/$O$16&gt;1000),2.3,IF(AND($J126="Schlauch 13 mm 0,5 Meter",S$19*1000^2/($M$16*($K71/2000)^2*PI())*($K71/1000)/$O$16&gt;1000),2.3,1)))</f>
        <v>2.2999999999999998</v>
      </c>
      <c r="AI126">
        <f>IF(AND($J126="Schlauch 8 mm 0,5 Meter",T$19*1000^2/($M$16*($K71/2000)^2*PI())*($K71/1000)/$O$16&gt;1000),2.3,IF(AND($J126="Schlauch 10 mm 0,5 Meter",T$19*1000^2/($M$16*($K71/2000)^2*PI())*($K71/1000)/$O$16&gt;1000),2.3,IF(AND($J126="Schlauch 13 mm 0,5 Meter",T$19*1000^2/($M$16*($K71/2000)^2*PI())*($K71/1000)/$O$16&gt;1000),2.3,1)))</f>
        <v>2.2999999999999998</v>
      </c>
      <c r="AJ126">
        <f>IF(AND($J126="Schlauch 8 mm 0,5 Meter",U$19*1000^2/($M$16*($K71/2000)^2*PI())*($K71/1000)/$O$16&gt;1000),2.3,IF(AND($J126="Schlauch 10 mm 0,5 Meter",U$19*1000^2/($M$16*($K71/2000)^2*PI())*($K71/1000)/$O$16&gt;1000),2.3,IF(AND($J126="Schlauch 13 mm 0,5 Meter",U$19*1000^2/($M$16*($K71/2000)^2*PI())*($K71/1000)/$O$16&gt;1000),2.3,1)))</f>
        <v>2.2999999999999998</v>
      </c>
      <c r="AK126">
        <f>IF(AND($J126="Schlauch 8 mm 0,5 Meter",V$19*1000^2/($M$16*($K71/2000)^2*PI())*($K71/1000)/$O$16&gt;1000),2.3,IF(AND($J126="Schlauch 10 mm 0,5 Meter",V$19*1000^2/($M$16*($K71/2000)^2*PI())*($K71/1000)/$O$16&gt;1000),2.3,IF(AND($J126="Schlauch 13 mm 0,5 Meter",V$19*1000^2/($M$16*($K71/2000)^2*PI())*($K71/1000)/$O$16&gt;1000),2.3,1)))</f>
        <v>2.2999999999999998</v>
      </c>
      <c r="AL126">
        <f>IF(AND($J126="Schlauch 8 mm 0,5 Meter",W$19*1000^2/($M$16*($K71/2000)^2*PI())*($K71/1000)/$O$16&gt;1000),2.3,IF(AND($J126="Schlauch 10 mm 0,5 Meter",W$19*1000^2/($M$16*($K71/2000)^2*PI())*($K71/1000)/$O$16&gt;1000),2.3,IF(AND($J126="Schlauch 13 mm 0,5 Meter",W$19*1000^2/($M$16*($K71/2000)^2*PI())*($K71/1000)/$O$16&gt;1000),2.3,1)))</f>
        <v>2.2999999999999998</v>
      </c>
      <c r="AM126">
        <f>IF(AND($J126="Schlauch 8 mm 0,5 Meter",X$19*1000^2/($M$16*($K71/2000)^2*PI())*($K71/1000)/$O$16&gt;1000),2.3,IF(AND($J126="Schlauch 10 mm 0,5 Meter",X$19*1000^2/($M$16*($K71/2000)^2*PI())*($K71/1000)/$O$16&gt;1000),2.3,IF(AND($J126="Schlauch 13 mm 0,5 Meter",X$19*1000^2/($M$16*($K71/2000)^2*PI())*($K71/1000)/$O$16&gt;1000),2.3,1)))</f>
        <v>2.2999999999999998</v>
      </c>
      <c r="AN126">
        <f>IF(AND($J126="Schlauch 8 mm 0,5 Meter",Y$19*1000^2/($M$16*($K71/2000)^2*PI())*($K71/1000)/$O$16&gt;1000),2.3,IF(AND($J126="Schlauch 10 mm 0,5 Meter",Y$19*1000^2/($M$16*($K71/2000)^2*PI())*($K71/1000)/$O$16&gt;1000),2.3,IF(AND($J126="Schlauch 13 mm 0,5 Meter",Y$19*1000^2/($M$16*($K71/2000)^2*PI())*($K71/1000)/$O$16&gt;1000),2.3,1)))</f>
        <v>2.2999999999999998</v>
      </c>
      <c r="AQ126">
        <v>103</v>
      </c>
      <c r="AR126" s="14">
        <v>4.552273672227285</v>
      </c>
      <c r="AS126" s="13">
        <f t="shared" si="30"/>
        <v>44563.788437306626</v>
      </c>
      <c r="AT126" s="9">
        <v>3.5191395067934241</v>
      </c>
      <c r="AU126" s="13">
        <f t="shared" si="31"/>
        <v>34450.079181065492</v>
      </c>
    </row>
    <row r="127" spans="1:47" x14ac:dyDescent="0.35">
      <c r="A127">
        <f t="shared" si="26"/>
        <v>104</v>
      </c>
      <c r="B127" s="13">
        <f t="shared" si="27"/>
        <v>44532.862588104195</v>
      </c>
      <c r="F127">
        <f t="shared" si="28"/>
        <v>104</v>
      </c>
      <c r="G127" s="13">
        <f t="shared" si="29"/>
        <v>34427.700516739009</v>
      </c>
      <c r="I127" s="1">
        <v>2</v>
      </c>
      <c r="J127" t="s">
        <v>66</v>
      </c>
      <c r="K127">
        <f t="shared" ref="K127:K135" si="35">IF($J127="Schlauch 8 mm 0,5 Meter",8,IF($J127="Schlauch 10 mm 0,5 Meter",10,IF($J127="Schlauch 13 mm 0,5 Meter",13,IF($J127="PETG Rohr 8 mm 0,5 Meter",8,IF($J127="PETG Rohr 10 mm 0,5 Meter",10,IF($J127="PETG Rohr 13 mm 0,5 Meter",13,IF($J127="CU Rohr 8 mm 0,5 Meter",8,IF($J127="CU Rohr 10 mm 0,5 Meter",10,IF($J127="CU Rohr 13 mm 0,5 Meter",13)))))))))</f>
        <v>10</v>
      </c>
      <c r="L127" s="4" t="s">
        <v>12</v>
      </c>
      <c r="M127" s="1">
        <v>0</v>
      </c>
      <c r="N127" s="10">
        <f>IF(N$19*1000^2/($M$16*($K127/2000)^2*PI())*($K127/1000)/$O$16&lt;2320,(64*500*1000*$M$16*(N$19/($M$16*($K127/2000)^2*PI()))^2)/((N$19*1000^2/($M$16*($K127/2000)^2*PI())*($K127/1000)/$O$16)*1000*$K127*2)*AC127,(0.3164*500*1000*$M$16*(N$19/($M$16*($K127/2000)^2*PI()))^2)/(((N$19*1000^2/($M$16*($K127/2000)^2*PI())*($K127/1000)/$O$16))^0.25*1000*$K127*2)*AC127)</f>
        <v>27.145999467252636</v>
      </c>
      <c r="O127" s="10">
        <f>IF(O$19*1000^2/($M$16*($K127/2000)^2*PI())*($K127/1000)/$O$16&lt;2320,(64*500*1000*$M$16*(O$19/($M$16*($K127/2000)^2*PI()))^2)/((O$19*1000^2/($M$16*($K127/2000)^2*PI())*($K127/1000)/$O$16)*1000*$K127*2)*AD127,(0.3164*500*1000*$M$16*(O$19/($M$16*($K127/2000)^2*PI()))^2)/(((O$19*1000^2/($M$16*($K127/2000)^2*PI())*($K127/1000)/$O$16))^0.25*1000*$K127*2)*AD127)</f>
        <v>82.439024603714259</v>
      </c>
      <c r="P127" s="10">
        <f>IF(P$19*1000^2/($M$16*($K127/2000)^2*PI())*($K127/1000)/$O$16&lt;2320,(64*500*1000*$M$16*(P$19/($M$16*($K127/2000)^2*PI()))^2)/((P$19*1000^2/($M$16*($K127/2000)^2*PI())*($K127/1000)/$O$16)*1000*$K127*2)*AE127,(0.3164*500*1000*$M$16*(P$19/($M$16*($K127/2000)^2*PI()))^2)/(((P$19*1000^2/($M$16*($K127/2000)^2*PI())*($K127/1000)/$O$16))^0.25*1000*$K127*2)*AE127)</f>
        <v>153.89031005468519</v>
      </c>
      <c r="Q127" s="10">
        <f>IF(Q$19*1000^2/($M$16*($K127/2000)^2*PI())*($K127/1000)/$O$16&lt;2320,(64*500*1000*$M$16*(Q$19/($M$16*($K127/2000)^2*PI()))^2)/((Q$19*1000^2/($M$16*($K127/2000)^2*PI())*($K127/1000)/$O$16)*1000*$K127*2)*AF127,(0.3164*500*1000*$M$16*(Q$19/($M$16*($K127/2000)^2*PI()))^2)/(((Q$19*1000^2/($M$16*($K127/2000)^2*PI())*($K127/1000)/$O$16))^0.25*1000*$K127*2)*AF127)</f>
        <v>243.56346352886044</v>
      </c>
      <c r="R127" s="10">
        <f>IF(R$19*1000^2/($M$16*($K127/2000)^2*PI())*($K127/1000)/$O$16&lt;2320,(64*500*1000*$M$16*(R$19/($M$16*($K127/2000)^2*PI()))^2)/((R$19*1000^2/($M$16*($K127/2000)^2*PI())*($K127/1000)/$O$16)*1000*$K127*2)*AG127,(0.3164*500*1000*$M$16*(R$19/($M$16*($K127/2000)^2*PI()))^2)/(((R$19*1000^2/($M$16*($K127/2000)^2*PI())*($K127/1000)/$O$16))^0.25*1000*$K127*2)*AG127)</f>
        <v>350.2847613116831</v>
      </c>
      <c r="S127" s="10">
        <f>IF(S$19*1000^2/($M$16*($K127/2000)^2*PI())*($K127/1000)/$O$16&lt;2320,(64*500*1000*$M$16*(S$19/($M$16*($K127/2000)^2*PI()))^2)/((S$19*1000^2/($M$16*($K127/2000)^2*PI())*($K127/1000)/$O$16)*1000*$K127*2)*AH127,(0.3164*500*1000*$M$16*(S$19/($M$16*($K127/2000)^2*PI()))^2)/(((S$19*1000^2/($M$16*($K127/2000)^2*PI())*($K127/1000)/$O$16))^0.25*1000*$K127*2)*AH127)</f>
        <v>473.18402738107005</v>
      </c>
      <c r="T127" s="10">
        <f>IF(T$19*1000^2/($M$16*($K127/2000)^2*PI())*($K127/1000)/$O$16&lt;2320,(64*500*1000*$M$16*(T$19/($M$16*($K127/2000)^2*PI()))^2)/((T$19*1000^2/($M$16*($K127/2000)^2*PI())*($K127/1000)/$O$16)*1000*$K127*2)*AI127,(0.3164*500*1000*$M$16*(T$19/($M$16*($K127/2000)^2*PI()))^2)/(((T$19*1000^2/($M$16*($K127/2000)^2*PI())*($K127/1000)/$O$16))^0.25*1000*$K127*2)*AI127)</f>
        <v>611.57674914540632</v>
      </c>
      <c r="U127" s="10">
        <f>IF(U$19*1000^2/($M$16*($K127/2000)^2*PI())*($K127/1000)/$O$16&lt;2320,(64*500*1000*$M$16*(U$19/($M$16*($K127/2000)^2*PI()))^2)/((U$19*1000^2/($M$16*($K127/2000)^2*PI())*($K127/1000)/$O$16)*1000*$K127*2)*AJ127,(0.3164*500*1000*$M$16*(U$19/($M$16*($K127/2000)^2*PI()))^2)/(((U$19*1000^2/($M$16*($K127/2000)^2*PI())*($K127/1000)/$O$16))^0.25*1000*$K127*2)*AJ127)</f>
        <v>764.90286892110566</v>
      </c>
      <c r="V127" s="10">
        <f>IF(V$19*1000^2/($M$16*($K127/2000)^2*PI())*($K127/1000)/$O$16&lt;2320,(64*500*1000*$M$16*(V$19/($M$16*($K127/2000)^2*PI()))^2)/((V$19*1000^2/($M$16*($K127/2000)^2*PI())*($K127/1000)/$O$16)*1000*$K127*2)*AK127,(0.3164*500*1000*$M$16*(V$19/($M$16*($K127/2000)^2*PI()))^2)/(((V$19*1000^2/($M$16*($K127/2000)^2*PI())*($K127/1000)/$O$16))^0.25*1000*$K127*2)*AK127)</f>
        <v>932.69109330705589</v>
      </c>
      <c r="W127" s="10">
        <f>IF(W$19*1000^2/($M$16*($K127/2000)^2*PI())*($K127/1000)/$O$16&lt;2320,(64*500*1000*$M$16*(W$19/($M$16*($K127/2000)^2*PI()))^2)/((W$19*1000^2/($M$16*($K127/2000)^2*PI())*($K127/1000)/$O$16)*1000*$K127*2)*AL127,(0.3164*500*1000*$M$16*(W$19/($M$16*($K127/2000)^2*PI()))^2)/(((W$19*1000^2/($M$16*($K127/2000)^2*PI())*($K127/1000)/$O$16))^0.25*1000*$K127*2)*AL127)</f>
        <v>1114.5363539540324</v>
      </c>
      <c r="X127" s="10">
        <f>IF(X$19*1000^2/($M$16*($K127/2000)^2*PI())*($K127/1000)/$O$16&lt;2320,(64*500*1000*$M$16*(X$19/($M$16*($K127/2000)^2*PI()))^2)/((X$19*1000^2/($M$16*($K127/2000)^2*PI())*($K127/1000)/$O$16)*1000*$K127*2)*AM127,(0.3164*500*1000*$M$16*(X$19/($M$16*($K127/2000)^2*PI()))^2)/(((X$19*1000^2/($M$16*($K127/2000)^2*PI())*($K127/1000)/$O$16))^0.25*1000*$K127*2)*AM127)</f>
        <v>1310.084714411021</v>
      </c>
      <c r="Y127" s="10">
        <f>IF(Y$19*1000^2/($M$16*($K127/2000)^2*PI())*($K127/1000)/$O$16&lt;2320,(64*500*1000*$M$16*(Y$19/($M$16*($K127/2000)^2*PI()))^2)/((Y$19*1000^2/($M$16*($K127/2000)^2*PI())*($K127/1000)/$O$16)*1000*$K127*2)*AN127,(0.3164*500*1000*$M$16*(Y$19/($M$16*($K127/2000)^2*PI()))^2)/(((Y$19*1000^2/($M$16*($K127/2000)^2*PI())*($K127/1000)/$O$16))^0.25*1000*$K127*2)*AN127)</f>
        <v>1519.0227973944825</v>
      </c>
      <c r="AB127">
        <f>IF(AND($J127="Schlauch 8 mm 0,5 Meter",M$19*1000^2/($M$16*($K72/2000)^2*PI())*($K72/1000)/$O$16&gt;1000),2.3,IF(AND($J127="Schlauch 10 mm 0,5 Meter",M$19*1000^2/($M$16*($K72/2000)^2*PI())*($K72/1000)/$O$16&gt;1000),2.3,IF(AND($J127="Schlauch 13 mm 0,5 Meter",M$19*1000^2/($M$16*($K72/2000)^2*PI())*($K72/1000)/$O$16&gt;1000),2.3,1)))</f>
        <v>1</v>
      </c>
      <c r="AC127">
        <f>IF(AND($J127="Schlauch 8 mm 0,5 Meter",N$19*1000^2/($M$16*($K72/2000)^2*PI())*($K72/1000)/$O$16&gt;1000),2.3,IF(AND($J127="Schlauch 10 mm 0,5 Meter",N$19*1000^2/($M$16*($K72/2000)^2*PI())*($K72/1000)/$O$16&gt;1000),2.3,IF(AND($J127="Schlauch 13 mm 0,5 Meter",N$19*1000^2/($M$16*($K72/2000)^2*PI())*($K72/1000)/$O$16&gt;1000),2.3,1)))</f>
        <v>2.2999999999999998</v>
      </c>
      <c r="AD127">
        <f>IF(AND($J127="Schlauch 8 mm 0,5 Meter",O$19*1000^2/($M$16*($K72/2000)^2*PI())*($K72/1000)/$O$16&gt;1000),2.3,IF(AND($J127="Schlauch 10 mm 0,5 Meter",O$19*1000^2/($M$16*($K72/2000)^2*PI())*($K72/1000)/$O$16&gt;1000),2.3,IF(AND($J127="Schlauch 13 mm 0,5 Meter",O$19*1000^2/($M$16*($K72/2000)^2*PI())*($K72/1000)/$O$16&gt;1000),2.3,1)))</f>
        <v>2.2999999999999998</v>
      </c>
      <c r="AE127">
        <f>IF(AND($J127="Schlauch 8 mm 0,5 Meter",P$19*1000^2/($M$16*($K72/2000)^2*PI())*($K72/1000)/$O$16&gt;1000),2.3,IF(AND($J127="Schlauch 10 mm 0,5 Meter",P$19*1000^2/($M$16*($K72/2000)^2*PI())*($K72/1000)/$O$16&gt;1000),2.3,IF(AND($J127="Schlauch 13 mm 0,5 Meter",P$19*1000^2/($M$16*($K72/2000)^2*PI())*($K72/1000)/$O$16&gt;1000),2.3,1)))</f>
        <v>2.2999999999999998</v>
      </c>
      <c r="AF127">
        <f>IF(AND($J127="Schlauch 8 mm 0,5 Meter",Q$19*1000^2/($M$16*($K72/2000)^2*PI())*($K72/1000)/$O$16&gt;1000),2.3,IF(AND($J127="Schlauch 10 mm 0,5 Meter",Q$19*1000^2/($M$16*($K72/2000)^2*PI())*($K72/1000)/$O$16&gt;1000),2.3,IF(AND($J127="Schlauch 13 mm 0,5 Meter",Q$19*1000^2/($M$16*($K72/2000)^2*PI())*($K72/1000)/$O$16&gt;1000),2.3,1)))</f>
        <v>2.2999999999999998</v>
      </c>
      <c r="AG127">
        <f>IF(AND($J127="Schlauch 8 mm 0,5 Meter",R$19*1000^2/($M$16*($K72/2000)^2*PI())*($K72/1000)/$O$16&gt;1000),2.3,IF(AND($J127="Schlauch 10 mm 0,5 Meter",R$19*1000^2/($M$16*($K72/2000)^2*PI())*($K72/1000)/$O$16&gt;1000),2.3,IF(AND($J127="Schlauch 13 mm 0,5 Meter",R$19*1000^2/($M$16*($K72/2000)^2*PI())*($K72/1000)/$O$16&gt;1000),2.3,1)))</f>
        <v>2.2999999999999998</v>
      </c>
      <c r="AH127">
        <f>IF(AND($J127="Schlauch 8 mm 0,5 Meter",S$19*1000^2/($M$16*($K72/2000)^2*PI())*($K72/1000)/$O$16&gt;1000),2.3,IF(AND($J127="Schlauch 10 mm 0,5 Meter",S$19*1000^2/($M$16*($K72/2000)^2*PI())*($K72/1000)/$O$16&gt;1000),2.3,IF(AND($J127="Schlauch 13 mm 0,5 Meter",S$19*1000^2/($M$16*($K72/2000)^2*PI())*($K72/1000)/$O$16&gt;1000),2.3,1)))</f>
        <v>2.2999999999999998</v>
      </c>
      <c r="AI127">
        <f>IF(AND($J127="Schlauch 8 mm 0,5 Meter",T$19*1000^2/($M$16*($K72/2000)^2*PI())*($K72/1000)/$O$16&gt;1000),2.3,IF(AND($J127="Schlauch 10 mm 0,5 Meter",T$19*1000^2/($M$16*($K72/2000)^2*PI())*($K72/1000)/$O$16&gt;1000),2.3,IF(AND($J127="Schlauch 13 mm 0,5 Meter",T$19*1000^2/($M$16*($K72/2000)^2*PI())*($K72/1000)/$O$16&gt;1000),2.3,1)))</f>
        <v>2.2999999999999998</v>
      </c>
      <c r="AJ127">
        <f>IF(AND($J127="Schlauch 8 mm 0,5 Meter",U$19*1000^2/($M$16*($K72/2000)^2*PI())*($K72/1000)/$O$16&gt;1000),2.3,IF(AND($J127="Schlauch 10 mm 0,5 Meter",U$19*1000^2/($M$16*($K72/2000)^2*PI())*($K72/1000)/$O$16&gt;1000),2.3,IF(AND($J127="Schlauch 13 mm 0,5 Meter",U$19*1000^2/($M$16*($K72/2000)^2*PI())*($K72/1000)/$O$16&gt;1000),2.3,1)))</f>
        <v>2.2999999999999998</v>
      </c>
      <c r="AK127">
        <f>IF(AND($J127="Schlauch 8 mm 0,5 Meter",V$19*1000^2/($M$16*($K72/2000)^2*PI())*($K72/1000)/$O$16&gt;1000),2.3,IF(AND($J127="Schlauch 10 mm 0,5 Meter",V$19*1000^2/($M$16*($K72/2000)^2*PI())*($K72/1000)/$O$16&gt;1000),2.3,IF(AND($J127="Schlauch 13 mm 0,5 Meter",V$19*1000^2/($M$16*($K72/2000)^2*PI())*($K72/1000)/$O$16&gt;1000),2.3,1)))</f>
        <v>2.2999999999999998</v>
      </c>
      <c r="AL127">
        <f>IF(AND($J127="Schlauch 8 mm 0,5 Meter",W$19*1000^2/($M$16*($K72/2000)^2*PI())*($K72/1000)/$O$16&gt;1000),2.3,IF(AND($J127="Schlauch 10 mm 0,5 Meter",W$19*1000^2/($M$16*($K72/2000)^2*PI())*($K72/1000)/$O$16&gt;1000),2.3,IF(AND($J127="Schlauch 13 mm 0,5 Meter",W$19*1000^2/($M$16*($K72/2000)^2*PI())*($K72/1000)/$O$16&gt;1000),2.3,1)))</f>
        <v>2.2999999999999998</v>
      </c>
      <c r="AM127">
        <f>IF(AND($J127="Schlauch 8 mm 0,5 Meter",X$19*1000^2/($M$16*($K72/2000)^2*PI())*($K72/1000)/$O$16&gt;1000),2.3,IF(AND($J127="Schlauch 10 mm 0,5 Meter",X$19*1000^2/($M$16*($K72/2000)^2*PI())*($K72/1000)/$O$16&gt;1000),2.3,IF(AND($J127="Schlauch 13 mm 0,5 Meter",X$19*1000^2/($M$16*($K72/2000)^2*PI())*($K72/1000)/$O$16&gt;1000),2.3,1)))</f>
        <v>2.2999999999999998</v>
      </c>
      <c r="AN127">
        <f>IF(AND($J127="Schlauch 8 mm 0,5 Meter",Y$19*1000^2/($M$16*($K72/2000)^2*PI())*($K72/1000)/$O$16&gt;1000),2.3,IF(AND($J127="Schlauch 10 mm 0,5 Meter",Y$19*1000^2/($M$16*($K72/2000)^2*PI())*($K72/1000)/$O$16&gt;1000),2.3,IF(AND($J127="Schlauch 13 mm 0,5 Meter",Y$19*1000^2/($M$16*($K72/2000)^2*PI())*($K72/1000)/$O$16&gt;1000),2.3,1)))</f>
        <v>2.2999999999999998</v>
      </c>
      <c r="AQ127">
        <v>104</v>
      </c>
      <c r="AR127" s="14">
        <v>4.5491145393516419</v>
      </c>
      <c r="AS127" s="13">
        <f t="shared" si="30"/>
        <v>44532.862588104195</v>
      </c>
      <c r="AT127" s="9">
        <v>3.5168534847112491</v>
      </c>
      <c r="AU127" s="13">
        <f t="shared" si="31"/>
        <v>34427.700516739009</v>
      </c>
    </row>
    <row r="128" spans="1:47" x14ac:dyDescent="0.35">
      <c r="A128">
        <f t="shared" si="26"/>
        <v>105</v>
      </c>
      <c r="B128" s="13">
        <f t="shared" si="27"/>
        <v>44501.580841336792</v>
      </c>
      <c r="F128">
        <f t="shared" si="28"/>
        <v>105</v>
      </c>
      <c r="G128" s="13">
        <f t="shared" si="29"/>
        <v>34405.257204529044</v>
      </c>
      <c r="I128" s="1">
        <v>3</v>
      </c>
      <c r="J128" t="s">
        <v>66</v>
      </c>
      <c r="K128">
        <f t="shared" si="35"/>
        <v>10</v>
      </c>
      <c r="L128" s="4" t="s">
        <v>12</v>
      </c>
      <c r="M128" s="1">
        <v>0</v>
      </c>
      <c r="N128" s="10">
        <f>IF(N$19*1000^2/($M$16*($K128/2000)^2*PI())*($K128/1000)/$O$16&lt;2320,(64*500*1000*$M$16*(N$19/($M$16*($K128/2000)^2*PI()))^2)/((N$19*1000^2/($M$16*($K128/2000)^2*PI())*($K128/1000)/$O$16)*1000*$K128*2)*AC128,(0.3164*500*1000*$M$16*(N$19/($M$16*($K128/2000)^2*PI()))^2)/(((N$19*1000^2/($M$16*($K128/2000)^2*PI())*($K128/1000)/$O$16))^0.25*1000*$K128*2)*AC128)</f>
        <v>27.145999467252636</v>
      </c>
      <c r="O128" s="10">
        <f>IF(O$19*1000^2/($M$16*($K128/2000)^2*PI())*($K128/1000)/$O$16&lt;2320,(64*500*1000*$M$16*(O$19/($M$16*($K128/2000)^2*PI()))^2)/((O$19*1000^2/($M$16*($K128/2000)^2*PI())*($K128/1000)/$O$16)*1000*$K128*2)*AD128,(0.3164*500*1000*$M$16*(O$19/($M$16*($K128/2000)^2*PI()))^2)/(((O$19*1000^2/($M$16*($K128/2000)^2*PI())*($K128/1000)/$O$16))^0.25*1000*$K128*2)*AD128)</f>
        <v>82.439024603714259</v>
      </c>
      <c r="P128" s="10">
        <f>IF(P$19*1000^2/($M$16*($K128/2000)^2*PI())*($K128/1000)/$O$16&lt;2320,(64*500*1000*$M$16*(P$19/($M$16*($K128/2000)^2*PI()))^2)/((P$19*1000^2/($M$16*($K128/2000)^2*PI())*($K128/1000)/$O$16)*1000*$K128*2)*AE128,(0.3164*500*1000*$M$16*(P$19/($M$16*($K128/2000)^2*PI()))^2)/(((P$19*1000^2/($M$16*($K128/2000)^2*PI())*($K128/1000)/$O$16))^0.25*1000*$K128*2)*AE128)</f>
        <v>153.89031005468519</v>
      </c>
      <c r="Q128" s="10">
        <f>IF(Q$19*1000^2/($M$16*($K128/2000)^2*PI())*($K128/1000)/$O$16&lt;2320,(64*500*1000*$M$16*(Q$19/($M$16*($K128/2000)^2*PI()))^2)/((Q$19*1000^2/($M$16*($K128/2000)^2*PI())*($K128/1000)/$O$16)*1000*$K128*2)*AF128,(0.3164*500*1000*$M$16*(Q$19/($M$16*($K128/2000)^2*PI()))^2)/(((Q$19*1000^2/($M$16*($K128/2000)^2*PI())*($K128/1000)/$O$16))^0.25*1000*$K128*2)*AF128)</f>
        <v>243.56346352886044</v>
      </c>
      <c r="R128" s="10">
        <f>IF(R$19*1000^2/($M$16*($K128/2000)^2*PI())*($K128/1000)/$O$16&lt;2320,(64*500*1000*$M$16*(R$19/($M$16*($K128/2000)^2*PI()))^2)/((R$19*1000^2/($M$16*($K128/2000)^2*PI())*($K128/1000)/$O$16)*1000*$K128*2)*AG128,(0.3164*500*1000*$M$16*(R$19/($M$16*($K128/2000)^2*PI()))^2)/(((R$19*1000^2/($M$16*($K128/2000)^2*PI())*($K128/1000)/$O$16))^0.25*1000*$K128*2)*AG128)</f>
        <v>350.2847613116831</v>
      </c>
      <c r="S128" s="10">
        <f>IF(S$19*1000^2/($M$16*($K128/2000)^2*PI())*($K128/1000)/$O$16&lt;2320,(64*500*1000*$M$16*(S$19/($M$16*($K128/2000)^2*PI()))^2)/((S$19*1000^2/($M$16*($K128/2000)^2*PI())*($K128/1000)/$O$16)*1000*$K128*2)*AH128,(0.3164*500*1000*$M$16*(S$19/($M$16*($K128/2000)^2*PI()))^2)/(((S$19*1000^2/($M$16*($K128/2000)^2*PI())*($K128/1000)/$O$16))^0.25*1000*$K128*2)*AH128)</f>
        <v>473.18402738107005</v>
      </c>
      <c r="T128" s="10">
        <f>IF(T$19*1000^2/($M$16*($K128/2000)^2*PI())*($K128/1000)/$O$16&lt;2320,(64*500*1000*$M$16*(T$19/($M$16*($K128/2000)^2*PI()))^2)/((T$19*1000^2/($M$16*($K128/2000)^2*PI())*($K128/1000)/$O$16)*1000*$K128*2)*AI128,(0.3164*500*1000*$M$16*(T$19/($M$16*($K128/2000)^2*PI()))^2)/(((T$19*1000^2/($M$16*($K128/2000)^2*PI())*($K128/1000)/$O$16))^0.25*1000*$K128*2)*AI128)</f>
        <v>611.57674914540632</v>
      </c>
      <c r="U128" s="10">
        <f>IF(U$19*1000^2/($M$16*($K128/2000)^2*PI())*($K128/1000)/$O$16&lt;2320,(64*500*1000*$M$16*(U$19/($M$16*($K128/2000)^2*PI()))^2)/((U$19*1000^2/($M$16*($K128/2000)^2*PI())*($K128/1000)/$O$16)*1000*$K128*2)*AJ128,(0.3164*500*1000*$M$16*(U$19/($M$16*($K128/2000)^2*PI()))^2)/(((U$19*1000^2/($M$16*($K128/2000)^2*PI())*($K128/1000)/$O$16))^0.25*1000*$K128*2)*AJ128)</f>
        <v>764.90286892110566</v>
      </c>
      <c r="V128" s="10">
        <f>IF(V$19*1000^2/($M$16*($K128/2000)^2*PI())*($K128/1000)/$O$16&lt;2320,(64*500*1000*$M$16*(V$19/($M$16*($K128/2000)^2*PI()))^2)/((V$19*1000^2/($M$16*($K128/2000)^2*PI())*($K128/1000)/$O$16)*1000*$K128*2)*AK128,(0.3164*500*1000*$M$16*(V$19/($M$16*($K128/2000)^2*PI()))^2)/(((V$19*1000^2/($M$16*($K128/2000)^2*PI())*($K128/1000)/$O$16))^0.25*1000*$K128*2)*AK128)</f>
        <v>932.69109330705589</v>
      </c>
      <c r="W128" s="10">
        <f>IF(W$19*1000^2/($M$16*($K128/2000)^2*PI())*($K128/1000)/$O$16&lt;2320,(64*500*1000*$M$16*(W$19/($M$16*($K128/2000)^2*PI()))^2)/((W$19*1000^2/($M$16*($K128/2000)^2*PI())*($K128/1000)/$O$16)*1000*$K128*2)*AL128,(0.3164*500*1000*$M$16*(W$19/($M$16*($K128/2000)^2*PI()))^2)/(((W$19*1000^2/($M$16*($K128/2000)^2*PI())*($K128/1000)/$O$16))^0.25*1000*$K128*2)*AL128)</f>
        <v>1114.5363539540324</v>
      </c>
      <c r="X128" s="10">
        <f>IF(X$19*1000^2/($M$16*($K128/2000)^2*PI())*($K128/1000)/$O$16&lt;2320,(64*500*1000*$M$16*(X$19/($M$16*($K128/2000)^2*PI()))^2)/((X$19*1000^2/($M$16*($K128/2000)^2*PI())*($K128/1000)/$O$16)*1000*$K128*2)*AM128,(0.3164*500*1000*$M$16*(X$19/($M$16*($K128/2000)^2*PI()))^2)/(((X$19*1000^2/($M$16*($K128/2000)^2*PI())*($K128/1000)/$O$16))^0.25*1000*$K128*2)*AM128)</f>
        <v>1310.084714411021</v>
      </c>
      <c r="Y128" s="10">
        <f>IF(Y$19*1000^2/($M$16*($K128/2000)^2*PI())*($K128/1000)/$O$16&lt;2320,(64*500*1000*$M$16*(Y$19/($M$16*($K128/2000)^2*PI()))^2)/((Y$19*1000^2/($M$16*($K128/2000)^2*PI())*($K128/1000)/$O$16)*1000*$K128*2)*AN128,(0.3164*500*1000*$M$16*(Y$19/($M$16*($K128/2000)^2*PI()))^2)/(((Y$19*1000^2/($M$16*($K128/2000)^2*PI())*($K128/1000)/$O$16))^0.25*1000*$K128*2)*AN128)</f>
        <v>1519.0227973944825</v>
      </c>
      <c r="AB128">
        <f>IF(AND($J128="Schlauch 8 mm 0,5 Meter",M$19*1000^2/($M$16*($K73/2000)^2*PI())*($K73/1000)/$O$16&gt;1000),2.3,IF(AND($J128="Schlauch 10 mm 0,5 Meter",M$19*1000^2/($M$16*($K73/2000)^2*PI())*($K73/1000)/$O$16&gt;1000),2.3,IF(AND($J128="Schlauch 13 mm 0,5 Meter",M$19*1000^2/($M$16*($K73/2000)^2*PI())*($K73/1000)/$O$16&gt;1000),2.3,1)))</f>
        <v>1</v>
      </c>
      <c r="AC128">
        <f>IF(AND($J128="Schlauch 8 mm 0,5 Meter",N$19*1000^2/($M$16*($K73/2000)^2*PI())*($K73/1000)/$O$16&gt;1000),2.3,IF(AND($J128="Schlauch 10 mm 0,5 Meter",N$19*1000^2/($M$16*($K73/2000)^2*PI())*($K73/1000)/$O$16&gt;1000),2.3,IF(AND($J128="Schlauch 13 mm 0,5 Meter",N$19*1000^2/($M$16*($K73/2000)^2*PI())*($K73/1000)/$O$16&gt;1000),2.3,1)))</f>
        <v>2.2999999999999998</v>
      </c>
      <c r="AD128">
        <f>IF(AND($J128="Schlauch 8 mm 0,5 Meter",O$19*1000^2/($M$16*($K73/2000)^2*PI())*($K73/1000)/$O$16&gt;1000),2.3,IF(AND($J128="Schlauch 10 mm 0,5 Meter",O$19*1000^2/($M$16*($K73/2000)^2*PI())*($K73/1000)/$O$16&gt;1000),2.3,IF(AND($J128="Schlauch 13 mm 0,5 Meter",O$19*1000^2/($M$16*($K73/2000)^2*PI())*($K73/1000)/$O$16&gt;1000),2.3,1)))</f>
        <v>2.2999999999999998</v>
      </c>
      <c r="AE128">
        <f>IF(AND($J128="Schlauch 8 mm 0,5 Meter",P$19*1000^2/($M$16*($K73/2000)^2*PI())*($K73/1000)/$O$16&gt;1000),2.3,IF(AND($J128="Schlauch 10 mm 0,5 Meter",P$19*1000^2/($M$16*($K73/2000)^2*PI())*($K73/1000)/$O$16&gt;1000),2.3,IF(AND($J128="Schlauch 13 mm 0,5 Meter",P$19*1000^2/($M$16*($K73/2000)^2*PI())*($K73/1000)/$O$16&gt;1000),2.3,1)))</f>
        <v>2.2999999999999998</v>
      </c>
      <c r="AF128">
        <f>IF(AND($J128="Schlauch 8 mm 0,5 Meter",Q$19*1000^2/($M$16*($K73/2000)^2*PI())*($K73/1000)/$O$16&gt;1000),2.3,IF(AND($J128="Schlauch 10 mm 0,5 Meter",Q$19*1000^2/($M$16*($K73/2000)^2*PI())*($K73/1000)/$O$16&gt;1000),2.3,IF(AND($J128="Schlauch 13 mm 0,5 Meter",Q$19*1000^2/($M$16*($K73/2000)^2*PI())*($K73/1000)/$O$16&gt;1000),2.3,1)))</f>
        <v>2.2999999999999998</v>
      </c>
      <c r="AG128">
        <f>IF(AND($J128="Schlauch 8 mm 0,5 Meter",R$19*1000^2/($M$16*($K73/2000)^2*PI())*($K73/1000)/$O$16&gt;1000),2.3,IF(AND($J128="Schlauch 10 mm 0,5 Meter",R$19*1000^2/($M$16*($K73/2000)^2*PI())*($K73/1000)/$O$16&gt;1000),2.3,IF(AND($J128="Schlauch 13 mm 0,5 Meter",R$19*1000^2/($M$16*($K73/2000)^2*PI())*($K73/1000)/$O$16&gt;1000),2.3,1)))</f>
        <v>2.2999999999999998</v>
      </c>
      <c r="AH128">
        <f>IF(AND($J128="Schlauch 8 mm 0,5 Meter",S$19*1000^2/($M$16*($K73/2000)^2*PI())*($K73/1000)/$O$16&gt;1000),2.3,IF(AND($J128="Schlauch 10 mm 0,5 Meter",S$19*1000^2/($M$16*($K73/2000)^2*PI())*($K73/1000)/$O$16&gt;1000),2.3,IF(AND($J128="Schlauch 13 mm 0,5 Meter",S$19*1000^2/($M$16*($K73/2000)^2*PI())*($K73/1000)/$O$16&gt;1000),2.3,1)))</f>
        <v>2.2999999999999998</v>
      </c>
      <c r="AI128">
        <f>IF(AND($J128="Schlauch 8 mm 0,5 Meter",T$19*1000^2/($M$16*($K73/2000)^2*PI())*($K73/1000)/$O$16&gt;1000),2.3,IF(AND($J128="Schlauch 10 mm 0,5 Meter",T$19*1000^2/($M$16*($K73/2000)^2*PI())*($K73/1000)/$O$16&gt;1000),2.3,IF(AND($J128="Schlauch 13 mm 0,5 Meter",T$19*1000^2/($M$16*($K73/2000)^2*PI())*($K73/1000)/$O$16&gt;1000),2.3,1)))</f>
        <v>2.2999999999999998</v>
      </c>
      <c r="AJ128">
        <f>IF(AND($J128="Schlauch 8 mm 0,5 Meter",U$19*1000^2/($M$16*($K73/2000)^2*PI())*($K73/1000)/$O$16&gt;1000),2.3,IF(AND($J128="Schlauch 10 mm 0,5 Meter",U$19*1000^2/($M$16*($K73/2000)^2*PI())*($K73/1000)/$O$16&gt;1000),2.3,IF(AND($J128="Schlauch 13 mm 0,5 Meter",U$19*1000^2/($M$16*($K73/2000)^2*PI())*($K73/1000)/$O$16&gt;1000),2.3,1)))</f>
        <v>2.2999999999999998</v>
      </c>
      <c r="AK128">
        <f>IF(AND($J128="Schlauch 8 mm 0,5 Meter",V$19*1000^2/($M$16*($K73/2000)^2*PI())*($K73/1000)/$O$16&gt;1000),2.3,IF(AND($J128="Schlauch 10 mm 0,5 Meter",V$19*1000^2/($M$16*($K73/2000)^2*PI())*($K73/1000)/$O$16&gt;1000),2.3,IF(AND($J128="Schlauch 13 mm 0,5 Meter",V$19*1000^2/($M$16*($K73/2000)^2*PI())*($K73/1000)/$O$16&gt;1000),2.3,1)))</f>
        <v>2.2999999999999998</v>
      </c>
      <c r="AL128">
        <f>IF(AND($J128="Schlauch 8 mm 0,5 Meter",W$19*1000^2/($M$16*($K73/2000)^2*PI())*($K73/1000)/$O$16&gt;1000),2.3,IF(AND($J128="Schlauch 10 mm 0,5 Meter",W$19*1000^2/($M$16*($K73/2000)^2*PI())*($K73/1000)/$O$16&gt;1000),2.3,IF(AND($J128="Schlauch 13 mm 0,5 Meter",W$19*1000^2/($M$16*($K73/2000)^2*PI())*($K73/1000)/$O$16&gt;1000),2.3,1)))</f>
        <v>2.2999999999999998</v>
      </c>
      <c r="AM128">
        <f>IF(AND($J128="Schlauch 8 mm 0,5 Meter",X$19*1000^2/($M$16*($K73/2000)^2*PI())*($K73/1000)/$O$16&gt;1000),2.3,IF(AND($J128="Schlauch 10 mm 0,5 Meter",X$19*1000^2/($M$16*($K73/2000)^2*PI())*($K73/1000)/$O$16&gt;1000),2.3,IF(AND($J128="Schlauch 13 mm 0,5 Meter",X$19*1000^2/($M$16*($K73/2000)^2*PI())*($K73/1000)/$O$16&gt;1000),2.3,1)))</f>
        <v>2.2999999999999998</v>
      </c>
      <c r="AN128">
        <f>IF(AND($J128="Schlauch 8 mm 0,5 Meter",Y$19*1000^2/($M$16*($K73/2000)^2*PI())*($K73/1000)/$O$16&gt;1000),2.3,IF(AND($J128="Schlauch 10 mm 0,5 Meter",Y$19*1000^2/($M$16*($K73/2000)^2*PI())*($K73/1000)/$O$16&gt;1000),2.3,IF(AND($J128="Schlauch 13 mm 0,5 Meter",Y$19*1000^2/($M$16*($K73/2000)^2*PI())*($K73/1000)/$O$16&gt;1000),2.3,1)))</f>
        <v>2.2999999999999998</v>
      </c>
      <c r="AQ128">
        <v>105</v>
      </c>
      <c r="AR128" s="14">
        <v>4.545919050879407</v>
      </c>
      <c r="AS128" s="13">
        <f t="shared" si="30"/>
        <v>44501.580841336792</v>
      </c>
      <c r="AT128" s="9">
        <v>3.5145608587278292</v>
      </c>
      <c r="AU128" s="13">
        <f t="shared" si="31"/>
        <v>34405.257204529044</v>
      </c>
    </row>
    <row r="129" spans="1:47" x14ac:dyDescent="0.35">
      <c r="A129">
        <f t="shared" si="26"/>
        <v>106</v>
      </c>
      <c r="B129" s="13">
        <f t="shared" si="27"/>
        <v>44469.94254931638</v>
      </c>
      <c r="F129">
        <f t="shared" si="28"/>
        <v>106</v>
      </c>
      <c r="G129" s="13">
        <f t="shared" si="29"/>
        <v>34382.749676050902</v>
      </c>
      <c r="I129" s="1">
        <v>4</v>
      </c>
      <c r="J129" t="s">
        <v>66</v>
      </c>
      <c r="K129">
        <f t="shared" si="35"/>
        <v>10</v>
      </c>
      <c r="L129" s="4" t="s">
        <v>12</v>
      </c>
      <c r="M129" s="1">
        <v>0</v>
      </c>
      <c r="N129" s="10">
        <f>IF(N$19*1000^2/($M$16*($K129/2000)^2*PI())*($K129/1000)/$O$16&lt;2320,(64*500*1000*$M$16*(N$19/($M$16*($K129/2000)^2*PI()))^2)/((N$19*1000^2/($M$16*($K129/2000)^2*PI())*($K129/1000)/$O$16)*1000*$K129*2)*AC129,(0.3164*500*1000*$M$16*(N$19/($M$16*($K129/2000)^2*PI()))^2)/(((N$19*1000^2/($M$16*($K129/2000)^2*PI())*($K129/1000)/$O$16))^0.25*1000*$K129*2)*AC129)</f>
        <v>27.145999467252636</v>
      </c>
      <c r="O129" s="10">
        <f>IF(O$19*1000^2/($M$16*($K129/2000)^2*PI())*($K129/1000)/$O$16&lt;2320,(64*500*1000*$M$16*(O$19/($M$16*($K129/2000)^2*PI()))^2)/((O$19*1000^2/($M$16*($K129/2000)^2*PI())*($K129/1000)/$O$16)*1000*$K129*2)*AD129,(0.3164*500*1000*$M$16*(O$19/($M$16*($K129/2000)^2*PI()))^2)/(((O$19*1000^2/($M$16*($K129/2000)^2*PI())*($K129/1000)/$O$16))^0.25*1000*$K129*2)*AD129)</f>
        <v>82.439024603714259</v>
      </c>
      <c r="P129" s="10">
        <f>IF(P$19*1000^2/($M$16*($K129/2000)^2*PI())*($K129/1000)/$O$16&lt;2320,(64*500*1000*$M$16*(P$19/($M$16*($K129/2000)^2*PI()))^2)/((P$19*1000^2/($M$16*($K129/2000)^2*PI())*($K129/1000)/$O$16)*1000*$K129*2)*AE129,(0.3164*500*1000*$M$16*(P$19/($M$16*($K129/2000)^2*PI()))^2)/(((P$19*1000^2/($M$16*($K129/2000)^2*PI())*($K129/1000)/$O$16))^0.25*1000*$K129*2)*AE129)</f>
        <v>153.89031005468519</v>
      </c>
      <c r="Q129" s="10">
        <f>IF(Q$19*1000^2/($M$16*($K129/2000)^2*PI())*($K129/1000)/$O$16&lt;2320,(64*500*1000*$M$16*(Q$19/($M$16*($K129/2000)^2*PI()))^2)/((Q$19*1000^2/($M$16*($K129/2000)^2*PI())*($K129/1000)/$O$16)*1000*$K129*2)*AF129,(0.3164*500*1000*$M$16*(Q$19/($M$16*($K129/2000)^2*PI()))^2)/(((Q$19*1000^2/($M$16*($K129/2000)^2*PI())*($K129/1000)/$O$16))^0.25*1000*$K129*2)*AF129)</f>
        <v>243.56346352886044</v>
      </c>
      <c r="R129" s="10">
        <f>IF(R$19*1000^2/($M$16*($K129/2000)^2*PI())*($K129/1000)/$O$16&lt;2320,(64*500*1000*$M$16*(R$19/($M$16*($K129/2000)^2*PI()))^2)/((R$19*1000^2/($M$16*($K129/2000)^2*PI())*($K129/1000)/$O$16)*1000*$K129*2)*AG129,(0.3164*500*1000*$M$16*(R$19/($M$16*($K129/2000)^2*PI()))^2)/(((R$19*1000^2/($M$16*($K129/2000)^2*PI())*($K129/1000)/$O$16))^0.25*1000*$K129*2)*AG129)</f>
        <v>350.2847613116831</v>
      </c>
      <c r="S129" s="10">
        <f>IF(S$19*1000^2/($M$16*($K129/2000)^2*PI())*($K129/1000)/$O$16&lt;2320,(64*500*1000*$M$16*(S$19/($M$16*($K129/2000)^2*PI()))^2)/((S$19*1000^2/($M$16*($K129/2000)^2*PI())*($K129/1000)/$O$16)*1000*$K129*2)*AH129,(0.3164*500*1000*$M$16*(S$19/($M$16*($K129/2000)^2*PI()))^2)/(((S$19*1000^2/($M$16*($K129/2000)^2*PI())*($K129/1000)/$O$16))^0.25*1000*$K129*2)*AH129)</f>
        <v>473.18402738107005</v>
      </c>
      <c r="T129" s="10">
        <f>IF(T$19*1000^2/($M$16*($K129/2000)^2*PI())*($K129/1000)/$O$16&lt;2320,(64*500*1000*$M$16*(T$19/($M$16*($K129/2000)^2*PI()))^2)/((T$19*1000^2/($M$16*($K129/2000)^2*PI())*($K129/1000)/$O$16)*1000*$K129*2)*AI129,(0.3164*500*1000*$M$16*(T$19/($M$16*($K129/2000)^2*PI()))^2)/(((T$19*1000^2/($M$16*($K129/2000)^2*PI())*($K129/1000)/$O$16))^0.25*1000*$K129*2)*AI129)</f>
        <v>611.57674914540632</v>
      </c>
      <c r="U129" s="10">
        <f>IF(U$19*1000^2/($M$16*($K129/2000)^2*PI())*($K129/1000)/$O$16&lt;2320,(64*500*1000*$M$16*(U$19/($M$16*($K129/2000)^2*PI()))^2)/((U$19*1000^2/($M$16*($K129/2000)^2*PI())*($K129/1000)/$O$16)*1000*$K129*2)*AJ129,(0.3164*500*1000*$M$16*(U$19/($M$16*($K129/2000)^2*PI()))^2)/(((U$19*1000^2/($M$16*($K129/2000)^2*PI())*($K129/1000)/$O$16))^0.25*1000*$K129*2)*AJ129)</f>
        <v>764.90286892110566</v>
      </c>
      <c r="V129" s="10">
        <f>IF(V$19*1000^2/($M$16*($K129/2000)^2*PI())*($K129/1000)/$O$16&lt;2320,(64*500*1000*$M$16*(V$19/($M$16*($K129/2000)^2*PI()))^2)/((V$19*1000^2/($M$16*($K129/2000)^2*PI())*($K129/1000)/$O$16)*1000*$K129*2)*AK129,(0.3164*500*1000*$M$16*(V$19/($M$16*($K129/2000)^2*PI()))^2)/(((V$19*1000^2/($M$16*($K129/2000)^2*PI())*($K129/1000)/$O$16))^0.25*1000*$K129*2)*AK129)</f>
        <v>932.69109330705589</v>
      </c>
      <c r="W129" s="10">
        <f>IF(W$19*1000^2/($M$16*($K129/2000)^2*PI())*($K129/1000)/$O$16&lt;2320,(64*500*1000*$M$16*(W$19/($M$16*($K129/2000)^2*PI()))^2)/((W$19*1000^2/($M$16*($K129/2000)^2*PI())*($K129/1000)/$O$16)*1000*$K129*2)*AL129,(0.3164*500*1000*$M$16*(W$19/($M$16*($K129/2000)^2*PI()))^2)/(((W$19*1000^2/($M$16*($K129/2000)^2*PI())*($K129/1000)/$O$16))^0.25*1000*$K129*2)*AL129)</f>
        <v>1114.5363539540324</v>
      </c>
      <c r="X129" s="10">
        <f>IF(X$19*1000^2/($M$16*($K129/2000)^2*PI())*($K129/1000)/$O$16&lt;2320,(64*500*1000*$M$16*(X$19/($M$16*($K129/2000)^2*PI()))^2)/((X$19*1000^2/($M$16*($K129/2000)^2*PI())*($K129/1000)/$O$16)*1000*$K129*2)*AM129,(0.3164*500*1000*$M$16*(X$19/($M$16*($K129/2000)^2*PI()))^2)/(((X$19*1000^2/($M$16*($K129/2000)^2*PI())*($K129/1000)/$O$16))^0.25*1000*$K129*2)*AM129)</f>
        <v>1310.084714411021</v>
      </c>
      <c r="Y129" s="10">
        <f>IF(Y$19*1000^2/($M$16*($K129/2000)^2*PI())*($K129/1000)/$O$16&lt;2320,(64*500*1000*$M$16*(Y$19/($M$16*($K129/2000)^2*PI()))^2)/((Y$19*1000^2/($M$16*($K129/2000)^2*PI())*($K129/1000)/$O$16)*1000*$K129*2)*AN129,(0.3164*500*1000*$M$16*(Y$19/($M$16*($K129/2000)^2*PI()))^2)/(((Y$19*1000^2/($M$16*($K129/2000)^2*PI())*($K129/1000)/$O$16))^0.25*1000*$K129*2)*AN129)</f>
        <v>1519.0227973944825</v>
      </c>
      <c r="AB129">
        <f>IF(AND($J129="Schlauch 8 mm 0,5 Meter",M$19*1000^2/($M$16*($K74/2000)^2*PI())*($K74/1000)/$O$16&gt;1000),2.3,IF(AND($J129="Schlauch 10 mm 0,5 Meter",M$19*1000^2/($M$16*($K74/2000)^2*PI())*($K74/1000)/$O$16&gt;1000),2.3,IF(AND($J129="Schlauch 13 mm 0,5 Meter",M$19*1000^2/($M$16*($K74/2000)^2*PI())*($K74/1000)/$O$16&gt;1000),2.3,1)))</f>
        <v>1</v>
      </c>
      <c r="AC129">
        <f>IF(AND($J129="Schlauch 8 mm 0,5 Meter",N$19*1000^2/($M$16*($K74/2000)^2*PI())*($K74/1000)/$O$16&gt;1000),2.3,IF(AND($J129="Schlauch 10 mm 0,5 Meter",N$19*1000^2/($M$16*($K74/2000)^2*PI())*($K74/1000)/$O$16&gt;1000),2.3,IF(AND($J129="Schlauch 13 mm 0,5 Meter",N$19*1000^2/($M$16*($K74/2000)^2*PI())*($K74/1000)/$O$16&gt;1000),2.3,1)))</f>
        <v>2.2999999999999998</v>
      </c>
      <c r="AD129">
        <f>IF(AND($J129="Schlauch 8 mm 0,5 Meter",O$19*1000^2/($M$16*($K74/2000)^2*PI())*($K74/1000)/$O$16&gt;1000),2.3,IF(AND($J129="Schlauch 10 mm 0,5 Meter",O$19*1000^2/($M$16*($K74/2000)^2*PI())*($K74/1000)/$O$16&gt;1000),2.3,IF(AND($J129="Schlauch 13 mm 0,5 Meter",O$19*1000^2/($M$16*($K74/2000)^2*PI())*($K74/1000)/$O$16&gt;1000),2.3,1)))</f>
        <v>2.2999999999999998</v>
      </c>
      <c r="AE129">
        <f>IF(AND($J129="Schlauch 8 mm 0,5 Meter",P$19*1000^2/($M$16*($K74/2000)^2*PI())*($K74/1000)/$O$16&gt;1000),2.3,IF(AND($J129="Schlauch 10 mm 0,5 Meter",P$19*1000^2/($M$16*($K74/2000)^2*PI())*($K74/1000)/$O$16&gt;1000),2.3,IF(AND($J129="Schlauch 13 mm 0,5 Meter",P$19*1000^2/($M$16*($K74/2000)^2*PI())*($K74/1000)/$O$16&gt;1000),2.3,1)))</f>
        <v>2.2999999999999998</v>
      </c>
      <c r="AF129">
        <f>IF(AND($J129="Schlauch 8 mm 0,5 Meter",Q$19*1000^2/($M$16*($K74/2000)^2*PI())*($K74/1000)/$O$16&gt;1000),2.3,IF(AND($J129="Schlauch 10 mm 0,5 Meter",Q$19*1000^2/($M$16*($K74/2000)^2*PI())*($K74/1000)/$O$16&gt;1000),2.3,IF(AND($J129="Schlauch 13 mm 0,5 Meter",Q$19*1000^2/($M$16*($K74/2000)^2*PI())*($K74/1000)/$O$16&gt;1000),2.3,1)))</f>
        <v>2.2999999999999998</v>
      </c>
      <c r="AG129">
        <f>IF(AND($J129="Schlauch 8 mm 0,5 Meter",R$19*1000^2/($M$16*($K74/2000)^2*PI())*($K74/1000)/$O$16&gt;1000),2.3,IF(AND($J129="Schlauch 10 mm 0,5 Meter",R$19*1000^2/($M$16*($K74/2000)^2*PI())*($K74/1000)/$O$16&gt;1000),2.3,IF(AND($J129="Schlauch 13 mm 0,5 Meter",R$19*1000^2/($M$16*($K74/2000)^2*PI())*($K74/1000)/$O$16&gt;1000),2.3,1)))</f>
        <v>2.2999999999999998</v>
      </c>
      <c r="AH129">
        <f>IF(AND($J129="Schlauch 8 mm 0,5 Meter",S$19*1000^2/($M$16*($K74/2000)^2*PI())*($K74/1000)/$O$16&gt;1000),2.3,IF(AND($J129="Schlauch 10 mm 0,5 Meter",S$19*1000^2/($M$16*($K74/2000)^2*PI())*($K74/1000)/$O$16&gt;1000),2.3,IF(AND($J129="Schlauch 13 mm 0,5 Meter",S$19*1000^2/($M$16*($K74/2000)^2*PI())*($K74/1000)/$O$16&gt;1000),2.3,1)))</f>
        <v>2.2999999999999998</v>
      </c>
      <c r="AI129">
        <f>IF(AND($J129="Schlauch 8 mm 0,5 Meter",T$19*1000^2/($M$16*($K74/2000)^2*PI())*($K74/1000)/$O$16&gt;1000),2.3,IF(AND($J129="Schlauch 10 mm 0,5 Meter",T$19*1000^2/($M$16*($K74/2000)^2*PI())*($K74/1000)/$O$16&gt;1000),2.3,IF(AND($J129="Schlauch 13 mm 0,5 Meter",T$19*1000^2/($M$16*($K74/2000)^2*PI())*($K74/1000)/$O$16&gt;1000),2.3,1)))</f>
        <v>2.2999999999999998</v>
      </c>
      <c r="AJ129">
        <f>IF(AND($J129="Schlauch 8 mm 0,5 Meter",U$19*1000^2/($M$16*($K74/2000)^2*PI())*($K74/1000)/$O$16&gt;1000),2.3,IF(AND($J129="Schlauch 10 mm 0,5 Meter",U$19*1000^2/($M$16*($K74/2000)^2*PI())*($K74/1000)/$O$16&gt;1000),2.3,IF(AND($J129="Schlauch 13 mm 0,5 Meter",U$19*1000^2/($M$16*($K74/2000)^2*PI())*($K74/1000)/$O$16&gt;1000),2.3,1)))</f>
        <v>2.2999999999999998</v>
      </c>
      <c r="AK129">
        <f>IF(AND($J129="Schlauch 8 mm 0,5 Meter",V$19*1000^2/($M$16*($K74/2000)^2*PI())*($K74/1000)/$O$16&gt;1000),2.3,IF(AND($J129="Schlauch 10 mm 0,5 Meter",V$19*1000^2/($M$16*($K74/2000)^2*PI())*($K74/1000)/$O$16&gt;1000),2.3,IF(AND($J129="Schlauch 13 mm 0,5 Meter",V$19*1000^2/($M$16*($K74/2000)^2*PI())*($K74/1000)/$O$16&gt;1000),2.3,1)))</f>
        <v>2.2999999999999998</v>
      </c>
      <c r="AL129">
        <f>IF(AND($J129="Schlauch 8 mm 0,5 Meter",W$19*1000^2/($M$16*($K74/2000)^2*PI())*($K74/1000)/$O$16&gt;1000),2.3,IF(AND($J129="Schlauch 10 mm 0,5 Meter",W$19*1000^2/($M$16*($K74/2000)^2*PI())*($K74/1000)/$O$16&gt;1000),2.3,IF(AND($J129="Schlauch 13 mm 0,5 Meter",W$19*1000^2/($M$16*($K74/2000)^2*PI())*($K74/1000)/$O$16&gt;1000),2.3,1)))</f>
        <v>2.2999999999999998</v>
      </c>
      <c r="AM129">
        <f>IF(AND($J129="Schlauch 8 mm 0,5 Meter",X$19*1000^2/($M$16*($K74/2000)^2*PI())*($K74/1000)/$O$16&gt;1000),2.3,IF(AND($J129="Schlauch 10 mm 0,5 Meter",X$19*1000^2/($M$16*($K74/2000)^2*PI())*($K74/1000)/$O$16&gt;1000),2.3,IF(AND($J129="Schlauch 13 mm 0,5 Meter",X$19*1000^2/($M$16*($K74/2000)^2*PI())*($K74/1000)/$O$16&gt;1000),2.3,1)))</f>
        <v>2.2999999999999998</v>
      </c>
      <c r="AN129">
        <f>IF(AND($J129="Schlauch 8 mm 0,5 Meter",Y$19*1000^2/($M$16*($K74/2000)^2*PI())*($K74/1000)/$O$16&gt;1000),2.3,IF(AND($J129="Schlauch 10 mm 0,5 Meter",Y$19*1000^2/($M$16*($K74/2000)^2*PI())*($K74/1000)/$O$16&gt;1000),2.3,IF(AND($J129="Schlauch 13 mm 0,5 Meter",Y$19*1000^2/($M$16*($K74/2000)^2*PI())*($K74/1000)/$O$16&gt;1000),2.3,1)))</f>
        <v>2.2999999999999998</v>
      </c>
      <c r="AQ129">
        <v>106</v>
      </c>
      <c r="AR129" s="14">
        <v>4.5426871406480451</v>
      </c>
      <c r="AS129" s="13">
        <f t="shared" si="30"/>
        <v>44469.94254931638</v>
      </c>
      <c r="AT129" s="9">
        <v>3.5122616729334681</v>
      </c>
      <c r="AU129" s="13">
        <f t="shared" si="31"/>
        <v>34382.749676050902</v>
      </c>
    </row>
    <row r="130" spans="1:47" x14ac:dyDescent="0.35">
      <c r="A130">
        <f t="shared" si="26"/>
        <v>107</v>
      </c>
      <c r="B130" s="13">
        <f t="shared" si="27"/>
        <v>44437.947069332338</v>
      </c>
      <c r="F130">
        <f t="shared" si="28"/>
        <v>107</v>
      </c>
      <c r="G130" s="13">
        <f t="shared" si="29"/>
        <v>34360.178355987613</v>
      </c>
      <c r="I130" s="1">
        <v>5</v>
      </c>
      <c r="J130" t="s">
        <v>66</v>
      </c>
      <c r="K130">
        <f t="shared" si="35"/>
        <v>10</v>
      </c>
      <c r="L130" s="4" t="s">
        <v>12</v>
      </c>
      <c r="M130" s="1">
        <v>0</v>
      </c>
      <c r="N130" s="10">
        <f>IF(N$19*1000^2/($M$16*($K130/2000)^2*PI())*($K130/1000)/$O$16&lt;2320,(64*500*1000*$M$16*(N$19/($M$16*($K130/2000)^2*PI()))^2)/((N$19*1000^2/($M$16*($K130/2000)^2*PI())*($K130/1000)/$O$16)*1000*$K130*2)*AC130,(0.3164*500*1000*$M$16*(N$19/($M$16*($K130/2000)^2*PI()))^2)/(((N$19*1000^2/($M$16*($K130/2000)^2*PI())*($K130/1000)/$O$16))^0.25*1000*$K130*2)*AC130)</f>
        <v>27.145999467252636</v>
      </c>
      <c r="O130" s="10">
        <f>IF(O$19*1000^2/($M$16*($K130/2000)^2*PI())*($K130/1000)/$O$16&lt;2320,(64*500*1000*$M$16*(O$19/($M$16*($K130/2000)^2*PI()))^2)/((O$19*1000^2/($M$16*($K130/2000)^2*PI())*($K130/1000)/$O$16)*1000*$K130*2)*AD130,(0.3164*500*1000*$M$16*(O$19/($M$16*($K130/2000)^2*PI()))^2)/(((O$19*1000^2/($M$16*($K130/2000)^2*PI())*($K130/1000)/$O$16))^0.25*1000*$K130*2)*AD130)</f>
        <v>82.439024603714259</v>
      </c>
      <c r="P130" s="10">
        <f>IF(P$19*1000^2/($M$16*($K130/2000)^2*PI())*($K130/1000)/$O$16&lt;2320,(64*500*1000*$M$16*(P$19/($M$16*($K130/2000)^2*PI()))^2)/((P$19*1000^2/($M$16*($K130/2000)^2*PI())*($K130/1000)/$O$16)*1000*$K130*2)*AE130,(0.3164*500*1000*$M$16*(P$19/($M$16*($K130/2000)^2*PI()))^2)/(((P$19*1000^2/($M$16*($K130/2000)^2*PI())*($K130/1000)/$O$16))^0.25*1000*$K130*2)*AE130)</f>
        <v>153.89031005468519</v>
      </c>
      <c r="Q130" s="10">
        <f>IF(Q$19*1000^2/($M$16*($K130/2000)^2*PI())*($K130/1000)/$O$16&lt;2320,(64*500*1000*$M$16*(Q$19/($M$16*($K130/2000)^2*PI()))^2)/((Q$19*1000^2/($M$16*($K130/2000)^2*PI())*($K130/1000)/$O$16)*1000*$K130*2)*AF130,(0.3164*500*1000*$M$16*(Q$19/($M$16*($K130/2000)^2*PI()))^2)/(((Q$19*1000^2/($M$16*($K130/2000)^2*PI())*($K130/1000)/$O$16))^0.25*1000*$K130*2)*AF130)</f>
        <v>243.56346352886044</v>
      </c>
      <c r="R130" s="10">
        <f>IF(R$19*1000^2/($M$16*($K130/2000)^2*PI())*($K130/1000)/$O$16&lt;2320,(64*500*1000*$M$16*(R$19/($M$16*($K130/2000)^2*PI()))^2)/((R$19*1000^2/($M$16*($K130/2000)^2*PI())*($K130/1000)/$O$16)*1000*$K130*2)*AG130,(0.3164*500*1000*$M$16*(R$19/($M$16*($K130/2000)^2*PI()))^2)/(((R$19*1000^2/($M$16*($K130/2000)^2*PI())*($K130/1000)/$O$16))^0.25*1000*$K130*2)*AG130)</f>
        <v>350.2847613116831</v>
      </c>
      <c r="S130" s="10">
        <f>IF(S$19*1000^2/($M$16*($K130/2000)^2*PI())*($K130/1000)/$O$16&lt;2320,(64*500*1000*$M$16*(S$19/($M$16*($K130/2000)^2*PI()))^2)/((S$19*1000^2/($M$16*($K130/2000)^2*PI())*($K130/1000)/$O$16)*1000*$K130*2)*AH130,(0.3164*500*1000*$M$16*(S$19/($M$16*($K130/2000)^2*PI()))^2)/(((S$19*1000^2/($M$16*($K130/2000)^2*PI())*($K130/1000)/$O$16))^0.25*1000*$K130*2)*AH130)</f>
        <v>473.18402738107005</v>
      </c>
      <c r="T130" s="10">
        <f>IF(T$19*1000^2/($M$16*($K130/2000)^2*PI())*($K130/1000)/$O$16&lt;2320,(64*500*1000*$M$16*(T$19/($M$16*($K130/2000)^2*PI()))^2)/((T$19*1000^2/($M$16*($K130/2000)^2*PI())*($K130/1000)/$O$16)*1000*$K130*2)*AI130,(0.3164*500*1000*$M$16*(T$19/($M$16*($K130/2000)^2*PI()))^2)/(((T$19*1000^2/($M$16*($K130/2000)^2*PI())*($K130/1000)/$O$16))^0.25*1000*$K130*2)*AI130)</f>
        <v>611.57674914540632</v>
      </c>
      <c r="U130" s="10">
        <f>IF(U$19*1000^2/($M$16*($K130/2000)^2*PI())*($K130/1000)/$O$16&lt;2320,(64*500*1000*$M$16*(U$19/($M$16*($K130/2000)^2*PI()))^2)/((U$19*1000^2/($M$16*($K130/2000)^2*PI())*($K130/1000)/$O$16)*1000*$K130*2)*AJ130,(0.3164*500*1000*$M$16*(U$19/($M$16*($K130/2000)^2*PI()))^2)/(((U$19*1000^2/($M$16*($K130/2000)^2*PI())*($K130/1000)/$O$16))^0.25*1000*$K130*2)*AJ130)</f>
        <v>764.90286892110566</v>
      </c>
      <c r="V130" s="10">
        <f>IF(V$19*1000^2/($M$16*($K130/2000)^2*PI())*($K130/1000)/$O$16&lt;2320,(64*500*1000*$M$16*(V$19/($M$16*($K130/2000)^2*PI()))^2)/((V$19*1000^2/($M$16*($K130/2000)^2*PI())*($K130/1000)/$O$16)*1000*$K130*2)*AK130,(0.3164*500*1000*$M$16*(V$19/($M$16*($K130/2000)^2*PI()))^2)/(((V$19*1000^2/($M$16*($K130/2000)^2*PI())*($K130/1000)/$O$16))^0.25*1000*$K130*2)*AK130)</f>
        <v>932.69109330705589</v>
      </c>
      <c r="W130" s="10">
        <f>IF(W$19*1000^2/($M$16*($K130/2000)^2*PI())*($K130/1000)/$O$16&lt;2320,(64*500*1000*$M$16*(W$19/($M$16*($K130/2000)^2*PI()))^2)/((W$19*1000^2/($M$16*($K130/2000)^2*PI())*($K130/1000)/$O$16)*1000*$K130*2)*AL130,(0.3164*500*1000*$M$16*(W$19/($M$16*($K130/2000)^2*PI()))^2)/(((W$19*1000^2/($M$16*($K130/2000)^2*PI())*($K130/1000)/$O$16))^0.25*1000*$K130*2)*AL130)</f>
        <v>1114.5363539540324</v>
      </c>
      <c r="X130" s="10">
        <f>IF(X$19*1000^2/($M$16*($K130/2000)^2*PI())*($K130/1000)/$O$16&lt;2320,(64*500*1000*$M$16*(X$19/($M$16*($K130/2000)^2*PI()))^2)/((X$19*1000^2/($M$16*($K130/2000)^2*PI())*($K130/1000)/$O$16)*1000*$K130*2)*AM130,(0.3164*500*1000*$M$16*(X$19/($M$16*($K130/2000)^2*PI()))^2)/(((X$19*1000^2/($M$16*($K130/2000)^2*PI())*($K130/1000)/$O$16))^0.25*1000*$K130*2)*AM130)</f>
        <v>1310.084714411021</v>
      </c>
      <c r="Y130" s="10">
        <f>IF(Y$19*1000^2/($M$16*($K130/2000)^2*PI())*($K130/1000)/$O$16&lt;2320,(64*500*1000*$M$16*(Y$19/($M$16*($K130/2000)^2*PI()))^2)/((Y$19*1000^2/($M$16*($K130/2000)^2*PI())*($K130/1000)/$O$16)*1000*$K130*2)*AN130,(0.3164*500*1000*$M$16*(Y$19/($M$16*($K130/2000)^2*PI()))^2)/(((Y$19*1000^2/($M$16*($K130/2000)^2*PI())*($K130/1000)/$O$16))^0.25*1000*$K130*2)*AN130)</f>
        <v>1519.0227973944825</v>
      </c>
      <c r="AB130">
        <f>IF(AND($J130="Schlauch 8 mm 0,5 Meter",M$19*1000^2/($M$16*($K75/2000)^2*PI())*($K75/1000)/$O$16&gt;1000),2.3,IF(AND($J130="Schlauch 10 mm 0,5 Meter",M$19*1000^2/($M$16*($K75/2000)^2*PI())*($K75/1000)/$O$16&gt;1000),2.3,IF(AND($J130="Schlauch 13 mm 0,5 Meter",M$19*1000^2/($M$16*($K75/2000)^2*PI())*($K75/1000)/$O$16&gt;1000),2.3,1)))</f>
        <v>1</v>
      </c>
      <c r="AC130">
        <f>IF(AND($J130="Schlauch 8 mm 0,5 Meter",N$19*1000^2/($M$16*($K75/2000)^2*PI())*($K75/1000)/$O$16&gt;1000),2.3,IF(AND($J130="Schlauch 10 mm 0,5 Meter",N$19*1000^2/($M$16*($K75/2000)^2*PI())*($K75/1000)/$O$16&gt;1000),2.3,IF(AND($J130="Schlauch 13 mm 0,5 Meter",N$19*1000^2/($M$16*($K75/2000)^2*PI())*($K75/1000)/$O$16&gt;1000),2.3,1)))</f>
        <v>2.2999999999999998</v>
      </c>
      <c r="AD130">
        <f>IF(AND($J130="Schlauch 8 mm 0,5 Meter",O$19*1000^2/($M$16*($K75/2000)^2*PI())*($K75/1000)/$O$16&gt;1000),2.3,IF(AND($J130="Schlauch 10 mm 0,5 Meter",O$19*1000^2/($M$16*($K75/2000)^2*PI())*($K75/1000)/$O$16&gt;1000),2.3,IF(AND($J130="Schlauch 13 mm 0,5 Meter",O$19*1000^2/($M$16*($K75/2000)^2*PI())*($K75/1000)/$O$16&gt;1000),2.3,1)))</f>
        <v>2.2999999999999998</v>
      </c>
      <c r="AE130">
        <f>IF(AND($J130="Schlauch 8 mm 0,5 Meter",P$19*1000^2/($M$16*($K75/2000)^2*PI())*($K75/1000)/$O$16&gt;1000),2.3,IF(AND($J130="Schlauch 10 mm 0,5 Meter",P$19*1000^2/($M$16*($K75/2000)^2*PI())*($K75/1000)/$O$16&gt;1000),2.3,IF(AND($J130="Schlauch 13 mm 0,5 Meter",P$19*1000^2/($M$16*($K75/2000)^2*PI())*($K75/1000)/$O$16&gt;1000),2.3,1)))</f>
        <v>2.2999999999999998</v>
      </c>
      <c r="AF130">
        <f>IF(AND($J130="Schlauch 8 mm 0,5 Meter",Q$19*1000^2/($M$16*($K75/2000)^2*PI())*($K75/1000)/$O$16&gt;1000),2.3,IF(AND($J130="Schlauch 10 mm 0,5 Meter",Q$19*1000^2/($M$16*($K75/2000)^2*PI())*($K75/1000)/$O$16&gt;1000),2.3,IF(AND($J130="Schlauch 13 mm 0,5 Meter",Q$19*1000^2/($M$16*($K75/2000)^2*PI())*($K75/1000)/$O$16&gt;1000),2.3,1)))</f>
        <v>2.2999999999999998</v>
      </c>
      <c r="AG130">
        <f>IF(AND($J130="Schlauch 8 mm 0,5 Meter",R$19*1000^2/($M$16*($K75/2000)^2*PI())*($K75/1000)/$O$16&gt;1000),2.3,IF(AND($J130="Schlauch 10 mm 0,5 Meter",R$19*1000^2/($M$16*($K75/2000)^2*PI())*($K75/1000)/$O$16&gt;1000),2.3,IF(AND($J130="Schlauch 13 mm 0,5 Meter",R$19*1000^2/($M$16*($K75/2000)^2*PI())*($K75/1000)/$O$16&gt;1000),2.3,1)))</f>
        <v>2.2999999999999998</v>
      </c>
      <c r="AH130">
        <f>IF(AND($J130="Schlauch 8 mm 0,5 Meter",S$19*1000^2/($M$16*($K75/2000)^2*PI())*($K75/1000)/$O$16&gt;1000),2.3,IF(AND($J130="Schlauch 10 mm 0,5 Meter",S$19*1000^2/($M$16*($K75/2000)^2*PI())*($K75/1000)/$O$16&gt;1000),2.3,IF(AND($J130="Schlauch 13 mm 0,5 Meter",S$19*1000^2/($M$16*($K75/2000)^2*PI())*($K75/1000)/$O$16&gt;1000),2.3,1)))</f>
        <v>2.2999999999999998</v>
      </c>
      <c r="AI130">
        <f>IF(AND($J130="Schlauch 8 mm 0,5 Meter",T$19*1000^2/($M$16*($K75/2000)^2*PI())*($K75/1000)/$O$16&gt;1000),2.3,IF(AND($J130="Schlauch 10 mm 0,5 Meter",T$19*1000^2/($M$16*($K75/2000)^2*PI())*($K75/1000)/$O$16&gt;1000),2.3,IF(AND($J130="Schlauch 13 mm 0,5 Meter",T$19*1000^2/($M$16*($K75/2000)^2*PI())*($K75/1000)/$O$16&gt;1000),2.3,1)))</f>
        <v>2.2999999999999998</v>
      </c>
      <c r="AJ130">
        <f>IF(AND($J130="Schlauch 8 mm 0,5 Meter",U$19*1000^2/($M$16*($K75/2000)^2*PI())*($K75/1000)/$O$16&gt;1000),2.3,IF(AND($J130="Schlauch 10 mm 0,5 Meter",U$19*1000^2/($M$16*($K75/2000)^2*PI())*($K75/1000)/$O$16&gt;1000),2.3,IF(AND($J130="Schlauch 13 mm 0,5 Meter",U$19*1000^2/($M$16*($K75/2000)^2*PI())*($K75/1000)/$O$16&gt;1000),2.3,1)))</f>
        <v>2.2999999999999998</v>
      </c>
      <c r="AK130">
        <f>IF(AND($J130="Schlauch 8 mm 0,5 Meter",V$19*1000^2/($M$16*($K75/2000)^2*PI())*($K75/1000)/$O$16&gt;1000),2.3,IF(AND($J130="Schlauch 10 mm 0,5 Meter",V$19*1000^2/($M$16*($K75/2000)^2*PI())*($K75/1000)/$O$16&gt;1000),2.3,IF(AND($J130="Schlauch 13 mm 0,5 Meter",V$19*1000^2/($M$16*($K75/2000)^2*PI())*($K75/1000)/$O$16&gt;1000),2.3,1)))</f>
        <v>2.2999999999999998</v>
      </c>
      <c r="AL130">
        <f>IF(AND($J130="Schlauch 8 mm 0,5 Meter",W$19*1000^2/($M$16*($K75/2000)^2*PI())*($K75/1000)/$O$16&gt;1000),2.3,IF(AND($J130="Schlauch 10 mm 0,5 Meter",W$19*1000^2/($M$16*($K75/2000)^2*PI())*($K75/1000)/$O$16&gt;1000),2.3,IF(AND($J130="Schlauch 13 mm 0,5 Meter",W$19*1000^2/($M$16*($K75/2000)^2*PI())*($K75/1000)/$O$16&gt;1000),2.3,1)))</f>
        <v>2.2999999999999998</v>
      </c>
      <c r="AM130">
        <f>IF(AND($J130="Schlauch 8 mm 0,5 Meter",X$19*1000^2/($M$16*($K75/2000)^2*PI())*($K75/1000)/$O$16&gt;1000),2.3,IF(AND($J130="Schlauch 10 mm 0,5 Meter",X$19*1000^2/($M$16*($K75/2000)^2*PI())*($K75/1000)/$O$16&gt;1000),2.3,IF(AND($J130="Schlauch 13 mm 0,5 Meter",X$19*1000^2/($M$16*($K75/2000)^2*PI())*($K75/1000)/$O$16&gt;1000),2.3,1)))</f>
        <v>2.2999999999999998</v>
      </c>
      <c r="AN130">
        <f>IF(AND($J130="Schlauch 8 mm 0,5 Meter",Y$19*1000^2/($M$16*($K75/2000)^2*PI())*($K75/1000)/$O$16&gt;1000),2.3,IF(AND($J130="Schlauch 10 mm 0,5 Meter",Y$19*1000^2/($M$16*($K75/2000)^2*PI())*($K75/1000)/$O$16&gt;1000),2.3,IF(AND($J130="Schlauch 13 mm 0,5 Meter",Y$19*1000^2/($M$16*($K75/2000)^2*PI())*($K75/1000)/$O$16&gt;1000),2.3,1)))</f>
        <v>2.2999999999999998</v>
      </c>
      <c r="AQ130">
        <v>107</v>
      </c>
      <c r="AR130" s="14">
        <v>4.5394187430034751</v>
      </c>
      <c r="AS130" s="13">
        <f t="shared" si="30"/>
        <v>44437.947069332338</v>
      </c>
      <c r="AT130" s="9">
        <v>3.5099559707103265</v>
      </c>
      <c r="AU130" s="13">
        <f t="shared" si="31"/>
        <v>34360.178355987613</v>
      </c>
    </row>
    <row r="131" spans="1:47" x14ac:dyDescent="0.35">
      <c r="A131">
        <f t="shared" si="26"/>
        <v>108</v>
      </c>
      <c r="B131" s="13">
        <f t="shared" si="27"/>
        <v>44405.593763566896</v>
      </c>
      <c r="F131">
        <f t="shared" si="28"/>
        <v>108</v>
      </c>
      <c r="G131" s="13">
        <f t="shared" si="29"/>
        <v>34337.543662265132</v>
      </c>
      <c r="I131" s="1">
        <v>6</v>
      </c>
      <c r="J131" t="s">
        <v>66</v>
      </c>
      <c r="K131">
        <f t="shared" si="35"/>
        <v>10</v>
      </c>
      <c r="L131" s="4" t="s">
        <v>12</v>
      </c>
      <c r="M131" s="1">
        <v>0</v>
      </c>
      <c r="N131" s="10">
        <f>IF(N$19*1000^2/($M$16*($K131/2000)^2*PI())*($K131/1000)/$O$16&lt;2320,(64*500*1000*$M$16*(N$19/($M$16*($K131/2000)^2*PI()))^2)/((N$19*1000^2/($M$16*($K131/2000)^2*PI())*($K131/1000)/$O$16)*1000*$K131*2)*AC131,(0.3164*500*1000*$M$16*(N$19/($M$16*($K131/2000)^2*PI()))^2)/(((N$19*1000^2/($M$16*($K131/2000)^2*PI())*($K131/1000)/$O$16))^0.25*1000*$K131*2)*AC131)</f>
        <v>27.145999467252636</v>
      </c>
      <c r="O131" s="10">
        <f>IF(O$19*1000^2/($M$16*($K131/2000)^2*PI())*($K131/1000)/$O$16&lt;2320,(64*500*1000*$M$16*(O$19/($M$16*($K131/2000)^2*PI()))^2)/((O$19*1000^2/($M$16*($K131/2000)^2*PI())*($K131/1000)/$O$16)*1000*$K131*2)*AD131,(0.3164*500*1000*$M$16*(O$19/($M$16*($K131/2000)^2*PI()))^2)/(((O$19*1000^2/($M$16*($K131/2000)^2*PI())*($K131/1000)/$O$16))^0.25*1000*$K131*2)*AD131)</f>
        <v>82.439024603714259</v>
      </c>
      <c r="P131" s="10">
        <f>IF(P$19*1000^2/($M$16*($K131/2000)^2*PI())*($K131/1000)/$O$16&lt;2320,(64*500*1000*$M$16*(P$19/($M$16*($K131/2000)^2*PI()))^2)/((P$19*1000^2/($M$16*($K131/2000)^2*PI())*($K131/1000)/$O$16)*1000*$K131*2)*AE131,(0.3164*500*1000*$M$16*(P$19/($M$16*($K131/2000)^2*PI()))^2)/(((P$19*1000^2/($M$16*($K131/2000)^2*PI())*($K131/1000)/$O$16))^0.25*1000*$K131*2)*AE131)</f>
        <v>153.89031005468519</v>
      </c>
      <c r="Q131" s="10">
        <f>IF(Q$19*1000^2/($M$16*($K131/2000)^2*PI())*($K131/1000)/$O$16&lt;2320,(64*500*1000*$M$16*(Q$19/($M$16*($K131/2000)^2*PI()))^2)/((Q$19*1000^2/($M$16*($K131/2000)^2*PI())*($K131/1000)/$O$16)*1000*$K131*2)*AF131,(0.3164*500*1000*$M$16*(Q$19/($M$16*($K131/2000)^2*PI()))^2)/(((Q$19*1000^2/($M$16*($K131/2000)^2*PI())*($K131/1000)/$O$16))^0.25*1000*$K131*2)*AF131)</f>
        <v>243.56346352886044</v>
      </c>
      <c r="R131" s="10">
        <f>IF(R$19*1000^2/($M$16*($K131/2000)^2*PI())*($K131/1000)/$O$16&lt;2320,(64*500*1000*$M$16*(R$19/($M$16*($K131/2000)^2*PI()))^2)/((R$19*1000^2/($M$16*($K131/2000)^2*PI())*($K131/1000)/$O$16)*1000*$K131*2)*AG131,(0.3164*500*1000*$M$16*(R$19/($M$16*($K131/2000)^2*PI()))^2)/(((R$19*1000^2/($M$16*($K131/2000)^2*PI())*($K131/1000)/$O$16))^0.25*1000*$K131*2)*AG131)</f>
        <v>350.2847613116831</v>
      </c>
      <c r="S131" s="10">
        <f>IF(S$19*1000^2/($M$16*($K131/2000)^2*PI())*($K131/1000)/$O$16&lt;2320,(64*500*1000*$M$16*(S$19/($M$16*($K131/2000)^2*PI()))^2)/((S$19*1000^2/($M$16*($K131/2000)^2*PI())*($K131/1000)/$O$16)*1000*$K131*2)*AH131,(0.3164*500*1000*$M$16*(S$19/($M$16*($K131/2000)^2*PI()))^2)/(((S$19*1000^2/($M$16*($K131/2000)^2*PI())*($K131/1000)/$O$16))^0.25*1000*$K131*2)*AH131)</f>
        <v>473.18402738107005</v>
      </c>
      <c r="T131" s="10">
        <f>IF(T$19*1000^2/($M$16*($K131/2000)^2*PI())*($K131/1000)/$O$16&lt;2320,(64*500*1000*$M$16*(T$19/($M$16*($K131/2000)^2*PI()))^2)/((T$19*1000^2/($M$16*($K131/2000)^2*PI())*($K131/1000)/$O$16)*1000*$K131*2)*AI131,(0.3164*500*1000*$M$16*(T$19/($M$16*($K131/2000)^2*PI()))^2)/(((T$19*1000^2/($M$16*($K131/2000)^2*PI())*($K131/1000)/$O$16))^0.25*1000*$K131*2)*AI131)</f>
        <v>611.57674914540632</v>
      </c>
      <c r="U131" s="10">
        <f>IF(U$19*1000^2/($M$16*($K131/2000)^2*PI())*($K131/1000)/$O$16&lt;2320,(64*500*1000*$M$16*(U$19/($M$16*($K131/2000)^2*PI()))^2)/((U$19*1000^2/($M$16*($K131/2000)^2*PI())*($K131/1000)/$O$16)*1000*$K131*2)*AJ131,(0.3164*500*1000*$M$16*(U$19/($M$16*($K131/2000)^2*PI()))^2)/(((U$19*1000^2/($M$16*($K131/2000)^2*PI())*($K131/1000)/$O$16))^0.25*1000*$K131*2)*AJ131)</f>
        <v>764.90286892110566</v>
      </c>
      <c r="V131" s="10">
        <f>IF(V$19*1000^2/($M$16*($K131/2000)^2*PI())*($K131/1000)/$O$16&lt;2320,(64*500*1000*$M$16*(V$19/($M$16*($K131/2000)^2*PI()))^2)/((V$19*1000^2/($M$16*($K131/2000)^2*PI())*($K131/1000)/$O$16)*1000*$K131*2)*AK131,(0.3164*500*1000*$M$16*(V$19/($M$16*($K131/2000)^2*PI()))^2)/(((V$19*1000^2/($M$16*($K131/2000)^2*PI())*($K131/1000)/$O$16))^0.25*1000*$K131*2)*AK131)</f>
        <v>932.69109330705589</v>
      </c>
      <c r="W131" s="10">
        <f>IF(W$19*1000^2/($M$16*($K131/2000)^2*PI())*($K131/1000)/$O$16&lt;2320,(64*500*1000*$M$16*(W$19/($M$16*($K131/2000)^2*PI()))^2)/((W$19*1000^2/($M$16*($K131/2000)^2*PI())*($K131/1000)/$O$16)*1000*$K131*2)*AL131,(0.3164*500*1000*$M$16*(W$19/($M$16*($K131/2000)^2*PI()))^2)/(((W$19*1000^2/($M$16*($K131/2000)^2*PI())*($K131/1000)/$O$16))^0.25*1000*$K131*2)*AL131)</f>
        <v>1114.5363539540324</v>
      </c>
      <c r="X131" s="10">
        <f>IF(X$19*1000^2/($M$16*($K131/2000)^2*PI())*($K131/1000)/$O$16&lt;2320,(64*500*1000*$M$16*(X$19/($M$16*($K131/2000)^2*PI()))^2)/((X$19*1000^2/($M$16*($K131/2000)^2*PI())*($K131/1000)/$O$16)*1000*$K131*2)*AM131,(0.3164*500*1000*$M$16*(X$19/($M$16*($K131/2000)^2*PI()))^2)/(((X$19*1000^2/($M$16*($K131/2000)^2*PI())*($K131/1000)/$O$16))^0.25*1000*$K131*2)*AM131)</f>
        <v>1310.084714411021</v>
      </c>
      <c r="Y131" s="10">
        <f>IF(Y$19*1000^2/($M$16*($K131/2000)^2*PI())*($K131/1000)/$O$16&lt;2320,(64*500*1000*$M$16*(Y$19/($M$16*($K131/2000)^2*PI()))^2)/((Y$19*1000^2/($M$16*($K131/2000)^2*PI())*($K131/1000)/$O$16)*1000*$K131*2)*AN131,(0.3164*500*1000*$M$16*(Y$19/($M$16*($K131/2000)^2*PI()))^2)/(((Y$19*1000^2/($M$16*($K131/2000)^2*PI())*($K131/1000)/$O$16))^0.25*1000*$K131*2)*AN131)</f>
        <v>1519.0227973944825</v>
      </c>
      <c r="AB131">
        <f>IF(AND($J131="Schlauch 8 mm 0,5 Meter",M$19*1000^2/($M$16*($K76/2000)^2*PI())*($K76/1000)/$O$16&gt;1000),2.3,IF(AND($J131="Schlauch 10 mm 0,5 Meter",M$19*1000^2/($M$16*($K76/2000)^2*PI())*($K76/1000)/$O$16&gt;1000),2.3,IF(AND($J131="Schlauch 13 mm 0,5 Meter",M$19*1000^2/($M$16*($K76/2000)^2*PI())*($K76/1000)/$O$16&gt;1000),2.3,1)))</f>
        <v>1</v>
      </c>
      <c r="AC131">
        <f>IF(AND($J131="Schlauch 8 mm 0,5 Meter",N$19*1000^2/($M$16*($K76/2000)^2*PI())*($K76/1000)/$O$16&gt;1000),2.3,IF(AND($J131="Schlauch 10 mm 0,5 Meter",N$19*1000^2/($M$16*($K76/2000)^2*PI())*($K76/1000)/$O$16&gt;1000),2.3,IF(AND($J131="Schlauch 13 mm 0,5 Meter",N$19*1000^2/($M$16*($K76/2000)^2*PI())*($K76/1000)/$O$16&gt;1000),2.3,1)))</f>
        <v>2.2999999999999998</v>
      </c>
      <c r="AD131">
        <f>IF(AND($J131="Schlauch 8 mm 0,5 Meter",O$19*1000^2/($M$16*($K76/2000)^2*PI())*($K76/1000)/$O$16&gt;1000),2.3,IF(AND($J131="Schlauch 10 mm 0,5 Meter",O$19*1000^2/($M$16*($K76/2000)^2*PI())*($K76/1000)/$O$16&gt;1000),2.3,IF(AND($J131="Schlauch 13 mm 0,5 Meter",O$19*1000^2/($M$16*($K76/2000)^2*PI())*($K76/1000)/$O$16&gt;1000),2.3,1)))</f>
        <v>2.2999999999999998</v>
      </c>
      <c r="AE131">
        <f>IF(AND($J131="Schlauch 8 mm 0,5 Meter",P$19*1000^2/($M$16*($K76/2000)^2*PI())*($K76/1000)/$O$16&gt;1000),2.3,IF(AND($J131="Schlauch 10 mm 0,5 Meter",P$19*1000^2/($M$16*($K76/2000)^2*PI())*($K76/1000)/$O$16&gt;1000),2.3,IF(AND($J131="Schlauch 13 mm 0,5 Meter",P$19*1000^2/($M$16*($K76/2000)^2*PI())*($K76/1000)/$O$16&gt;1000),2.3,1)))</f>
        <v>2.2999999999999998</v>
      </c>
      <c r="AF131">
        <f>IF(AND($J131="Schlauch 8 mm 0,5 Meter",Q$19*1000^2/($M$16*($K76/2000)^2*PI())*($K76/1000)/$O$16&gt;1000),2.3,IF(AND($J131="Schlauch 10 mm 0,5 Meter",Q$19*1000^2/($M$16*($K76/2000)^2*PI())*($K76/1000)/$O$16&gt;1000),2.3,IF(AND($J131="Schlauch 13 mm 0,5 Meter",Q$19*1000^2/($M$16*($K76/2000)^2*PI())*($K76/1000)/$O$16&gt;1000),2.3,1)))</f>
        <v>2.2999999999999998</v>
      </c>
      <c r="AG131">
        <f>IF(AND($J131="Schlauch 8 mm 0,5 Meter",R$19*1000^2/($M$16*($K76/2000)^2*PI())*($K76/1000)/$O$16&gt;1000),2.3,IF(AND($J131="Schlauch 10 mm 0,5 Meter",R$19*1000^2/($M$16*($K76/2000)^2*PI())*($K76/1000)/$O$16&gt;1000),2.3,IF(AND($J131="Schlauch 13 mm 0,5 Meter",R$19*1000^2/($M$16*($K76/2000)^2*PI())*($K76/1000)/$O$16&gt;1000),2.3,1)))</f>
        <v>2.2999999999999998</v>
      </c>
      <c r="AH131">
        <f>IF(AND($J131="Schlauch 8 mm 0,5 Meter",S$19*1000^2/($M$16*($K76/2000)^2*PI())*($K76/1000)/$O$16&gt;1000),2.3,IF(AND($J131="Schlauch 10 mm 0,5 Meter",S$19*1000^2/($M$16*($K76/2000)^2*PI())*($K76/1000)/$O$16&gt;1000),2.3,IF(AND($J131="Schlauch 13 mm 0,5 Meter",S$19*1000^2/($M$16*($K76/2000)^2*PI())*($K76/1000)/$O$16&gt;1000),2.3,1)))</f>
        <v>2.2999999999999998</v>
      </c>
      <c r="AI131">
        <f>IF(AND($J131="Schlauch 8 mm 0,5 Meter",T$19*1000^2/($M$16*($K76/2000)^2*PI())*($K76/1000)/$O$16&gt;1000),2.3,IF(AND($J131="Schlauch 10 mm 0,5 Meter",T$19*1000^2/($M$16*($K76/2000)^2*PI())*($K76/1000)/$O$16&gt;1000),2.3,IF(AND($J131="Schlauch 13 mm 0,5 Meter",T$19*1000^2/($M$16*($K76/2000)^2*PI())*($K76/1000)/$O$16&gt;1000),2.3,1)))</f>
        <v>2.2999999999999998</v>
      </c>
      <c r="AJ131">
        <f>IF(AND($J131="Schlauch 8 mm 0,5 Meter",U$19*1000^2/($M$16*($K76/2000)^2*PI())*($K76/1000)/$O$16&gt;1000),2.3,IF(AND($J131="Schlauch 10 mm 0,5 Meter",U$19*1000^2/($M$16*($K76/2000)^2*PI())*($K76/1000)/$O$16&gt;1000),2.3,IF(AND($J131="Schlauch 13 mm 0,5 Meter",U$19*1000^2/($M$16*($K76/2000)^2*PI())*($K76/1000)/$O$16&gt;1000),2.3,1)))</f>
        <v>2.2999999999999998</v>
      </c>
      <c r="AK131">
        <f>IF(AND($J131="Schlauch 8 mm 0,5 Meter",V$19*1000^2/($M$16*($K76/2000)^2*PI())*($K76/1000)/$O$16&gt;1000),2.3,IF(AND($J131="Schlauch 10 mm 0,5 Meter",V$19*1000^2/($M$16*($K76/2000)^2*PI())*($K76/1000)/$O$16&gt;1000),2.3,IF(AND($J131="Schlauch 13 mm 0,5 Meter",V$19*1000^2/($M$16*($K76/2000)^2*PI())*($K76/1000)/$O$16&gt;1000),2.3,1)))</f>
        <v>2.2999999999999998</v>
      </c>
      <c r="AL131">
        <f>IF(AND($J131="Schlauch 8 mm 0,5 Meter",W$19*1000^2/($M$16*($K76/2000)^2*PI())*($K76/1000)/$O$16&gt;1000),2.3,IF(AND($J131="Schlauch 10 mm 0,5 Meter",W$19*1000^2/($M$16*($K76/2000)^2*PI())*($K76/1000)/$O$16&gt;1000),2.3,IF(AND($J131="Schlauch 13 mm 0,5 Meter",W$19*1000^2/($M$16*($K76/2000)^2*PI())*($K76/1000)/$O$16&gt;1000),2.3,1)))</f>
        <v>2.2999999999999998</v>
      </c>
      <c r="AM131">
        <f>IF(AND($J131="Schlauch 8 mm 0,5 Meter",X$19*1000^2/($M$16*($K76/2000)^2*PI())*($K76/1000)/$O$16&gt;1000),2.3,IF(AND($J131="Schlauch 10 mm 0,5 Meter",X$19*1000^2/($M$16*($K76/2000)^2*PI())*($K76/1000)/$O$16&gt;1000),2.3,IF(AND($J131="Schlauch 13 mm 0,5 Meter",X$19*1000^2/($M$16*($K76/2000)^2*PI())*($K76/1000)/$O$16&gt;1000),2.3,1)))</f>
        <v>2.2999999999999998</v>
      </c>
      <c r="AN131">
        <f>IF(AND($J131="Schlauch 8 mm 0,5 Meter",Y$19*1000^2/($M$16*($K76/2000)^2*PI())*($K76/1000)/$O$16&gt;1000),2.3,IF(AND($J131="Schlauch 10 mm 0,5 Meter",Y$19*1000^2/($M$16*($K76/2000)^2*PI())*($K76/1000)/$O$16&gt;1000),2.3,IF(AND($J131="Schlauch 13 mm 0,5 Meter",Y$19*1000^2/($M$16*($K76/2000)^2*PI())*($K76/1000)/$O$16&gt;1000),2.3,1)))</f>
        <v>2.2999999999999998</v>
      </c>
      <c r="AQ131">
        <v>108</v>
      </c>
      <c r="AR131" s="14">
        <v>4.5361137927914266</v>
      </c>
      <c r="AS131" s="13">
        <f t="shared" si="30"/>
        <v>44405.593763566896</v>
      </c>
      <c r="AT131" s="9">
        <v>3.5076437947503152</v>
      </c>
      <c r="AU131" s="13">
        <f t="shared" si="31"/>
        <v>34337.543662265132</v>
      </c>
    </row>
    <row r="132" spans="1:47" x14ac:dyDescent="0.35">
      <c r="A132">
        <f t="shared" si="26"/>
        <v>109</v>
      </c>
      <c r="B132" s="13">
        <f t="shared" si="27"/>
        <v>44372.881999012578</v>
      </c>
      <c r="F132">
        <f t="shared" si="28"/>
        <v>109</v>
      </c>
      <c r="G132" s="13">
        <f t="shared" si="29"/>
        <v>34314.846006221516</v>
      </c>
      <c r="I132" s="1">
        <v>7</v>
      </c>
      <c r="J132" t="s">
        <v>66</v>
      </c>
      <c r="K132">
        <f t="shared" si="35"/>
        <v>10</v>
      </c>
      <c r="L132" s="4" t="s">
        <v>12</v>
      </c>
      <c r="M132" s="1">
        <v>0</v>
      </c>
      <c r="N132" s="10">
        <f>IF(N$19*1000^2/($M$16*($K132/2000)^2*PI())*($K132/1000)/$O$16&lt;2320,(64*500*1000*$M$16*(N$19/($M$16*($K132/2000)^2*PI()))^2)/((N$19*1000^2/($M$16*($K132/2000)^2*PI())*($K132/1000)/$O$16)*1000*$K132*2)*AC132,(0.3164*500*1000*$M$16*(N$19/($M$16*($K132/2000)^2*PI()))^2)/(((N$19*1000^2/($M$16*($K132/2000)^2*PI())*($K132/1000)/$O$16))^0.25*1000*$K132*2)*AC132)</f>
        <v>27.145999467252636</v>
      </c>
      <c r="O132" s="10">
        <f>IF(O$19*1000^2/($M$16*($K132/2000)^2*PI())*($K132/1000)/$O$16&lt;2320,(64*500*1000*$M$16*(O$19/($M$16*($K132/2000)^2*PI()))^2)/((O$19*1000^2/($M$16*($K132/2000)^2*PI())*($K132/1000)/$O$16)*1000*$K132*2)*AD132,(0.3164*500*1000*$M$16*(O$19/($M$16*($K132/2000)^2*PI()))^2)/(((O$19*1000^2/($M$16*($K132/2000)^2*PI())*($K132/1000)/$O$16))^0.25*1000*$K132*2)*AD132)</f>
        <v>82.439024603714259</v>
      </c>
      <c r="P132" s="10">
        <f>IF(P$19*1000^2/($M$16*($K132/2000)^2*PI())*($K132/1000)/$O$16&lt;2320,(64*500*1000*$M$16*(P$19/($M$16*($K132/2000)^2*PI()))^2)/((P$19*1000^2/($M$16*($K132/2000)^2*PI())*($K132/1000)/$O$16)*1000*$K132*2)*AE132,(0.3164*500*1000*$M$16*(P$19/($M$16*($K132/2000)^2*PI()))^2)/(((P$19*1000^2/($M$16*($K132/2000)^2*PI())*($K132/1000)/$O$16))^0.25*1000*$K132*2)*AE132)</f>
        <v>153.89031005468519</v>
      </c>
      <c r="Q132" s="10">
        <f>IF(Q$19*1000^2/($M$16*($K132/2000)^2*PI())*($K132/1000)/$O$16&lt;2320,(64*500*1000*$M$16*(Q$19/($M$16*($K132/2000)^2*PI()))^2)/((Q$19*1000^2/($M$16*($K132/2000)^2*PI())*($K132/1000)/$O$16)*1000*$K132*2)*AF132,(0.3164*500*1000*$M$16*(Q$19/($M$16*($K132/2000)^2*PI()))^2)/(((Q$19*1000^2/($M$16*($K132/2000)^2*PI())*($K132/1000)/$O$16))^0.25*1000*$K132*2)*AF132)</f>
        <v>243.56346352886044</v>
      </c>
      <c r="R132" s="10">
        <f>IF(R$19*1000^2/($M$16*($K132/2000)^2*PI())*($K132/1000)/$O$16&lt;2320,(64*500*1000*$M$16*(R$19/($M$16*($K132/2000)^2*PI()))^2)/((R$19*1000^2/($M$16*($K132/2000)^2*PI())*($K132/1000)/$O$16)*1000*$K132*2)*AG132,(0.3164*500*1000*$M$16*(R$19/($M$16*($K132/2000)^2*PI()))^2)/(((R$19*1000^2/($M$16*($K132/2000)^2*PI())*($K132/1000)/$O$16))^0.25*1000*$K132*2)*AG132)</f>
        <v>350.2847613116831</v>
      </c>
      <c r="S132" s="10">
        <f>IF(S$19*1000^2/($M$16*($K132/2000)^2*PI())*($K132/1000)/$O$16&lt;2320,(64*500*1000*$M$16*(S$19/($M$16*($K132/2000)^2*PI()))^2)/((S$19*1000^2/($M$16*($K132/2000)^2*PI())*($K132/1000)/$O$16)*1000*$K132*2)*AH132,(0.3164*500*1000*$M$16*(S$19/($M$16*($K132/2000)^2*PI()))^2)/(((S$19*1000^2/($M$16*($K132/2000)^2*PI())*($K132/1000)/$O$16))^0.25*1000*$K132*2)*AH132)</f>
        <v>473.18402738107005</v>
      </c>
      <c r="T132" s="10">
        <f>IF(T$19*1000^2/($M$16*($K132/2000)^2*PI())*($K132/1000)/$O$16&lt;2320,(64*500*1000*$M$16*(T$19/($M$16*($K132/2000)^2*PI()))^2)/((T$19*1000^2/($M$16*($K132/2000)^2*PI())*($K132/1000)/$O$16)*1000*$K132*2)*AI132,(0.3164*500*1000*$M$16*(T$19/($M$16*($K132/2000)^2*PI()))^2)/(((T$19*1000^2/($M$16*($K132/2000)^2*PI())*($K132/1000)/$O$16))^0.25*1000*$K132*2)*AI132)</f>
        <v>611.57674914540632</v>
      </c>
      <c r="U132" s="10">
        <f>IF(U$19*1000^2/($M$16*($K132/2000)^2*PI())*($K132/1000)/$O$16&lt;2320,(64*500*1000*$M$16*(U$19/($M$16*($K132/2000)^2*PI()))^2)/((U$19*1000^2/($M$16*($K132/2000)^2*PI())*($K132/1000)/$O$16)*1000*$K132*2)*AJ132,(0.3164*500*1000*$M$16*(U$19/($M$16*($K132/2000)^2*PI()))^2)/(((U$19*1000^2/($M$16*($K132/2000)^2*PI())*($K132/1000)/$O$16))^0.25*1000*$K132*2)*AJ132)</f>
        <v>764.90286892110566</v>
      </c>
      <c r="V132" s="10">
        <f>IF(V$19*1000^2/($M$16*($K132/2000)^2*PI())*($K132/1000)/$O$16&lt;2320,(64*500*1000*$M$16*(V$19/($M$16*($K132/2000)^2*PI()))^2)/((V$19*1000^2/($M$16*($K132/2000)^2*PI())*($K132/1000)/$O$16)*1000*$K132*2)*AK132,(0.3164*500*1000*$M$16*(V$19/($M$16*($K132/2000)^2*PI()))^2)/(((V$19*1000^2/($M$16*($K132/2000)^2*PI())*($K132/1000)/$O$16))^0.25*1000*$K132*2)*AK132)</f>
        <v>932.69109330705589</v>
      </c>
      <c r="W132" s="10">
        <f>IF(W$19*1000^2/($M$16*($K132/2000)^2*PI())*($K132/1000)/$O$16&lt;2320,(64*500*1000*$M$16*(W$19/($M$16*($K132/2000)^2*PI()))^2)/((W$19*1000^2/($M$16*($K132/2000)^2*PI())*($K132/1000)/$O$16)*1000*$K132*2)*AL132,(0.3164*500*1000*$M$16*(W$19/($M$16*($K132/2000)^2*PI()))^2)/(((W$19*1000^2/($M$16*($K132/2000)^2*PI())*($K132/1000)/$O$16))^0.25*1000*$K132*2)*AL132)</f>
        <v>1114.5363539540324</v>
      </c>
      <c r="X132" s="10">
        <f>IF(X$19*1000^2/($M$16*($K132/2000)^2*PI())*($K132/1000)/$O$16&lt;2320,(64*500*1000*$M$16*(X$19/($M$16*($K132/2000)^2*PI()))^2)/((X$19*1000^2/($M$16*($K132/2000)^2*PI())*($K132/1000)/$O$16)*1000*$K132*2)*AM132,(0.3164*500*1000*$M$16*(X$19/($M$16*($K132/2000)^2*PI()))^2)/(((X$19*1000^2/($M$16*($K132/2000)^2*PI())*($K132/1000)/$O$16))^0.25*1000*$K132*2)*AM132)</f>
        <v>1310.084714411021</v>
      </c>
      <c r="Y132" s="10">
        <f>IF(Y$19*1000^2/($M$16*($K132/2000)^2*PI())*($K132/1000)/$O$16&lt;2320,(64*500*1000*$M$16*(Y$19/($M$16*($K132/2000)^2*PI()))^2)/((Y$19*1000^2/($M$16*($K132/2000)^2*PI())*($K132/1000)/$O$16)*1000*$K132*2)*AN132,(0.3164*500*1000*$M$16*(Y$19/($M$16*($K132/2000)^2*PI()))^2)/(((Y$19*1000^2/($M$16*($K132/2000)^2*PI())*($K132/1000)/$O$16))^0.25*1000*$K132*2)*AN132)</f>
        <v>1519.0227973944825</v>
      </c>
      <c r="AB132">
        <f>IF(AND($J132="Schlauch 8 mm 0,5 Meter",M$19*1000^2/($M$16*($K77/2000)^2*PI())*($K77/1000)/$O$16&gt;1000),2.3,IF(AND($J132="Schlauch 10 mm 0,5 Meter",M$19*1000^2/($M$16*($K77/2000)^2*PI())*($K77/1000)/$O$16&gt;1000),2.3,IF(AND($J132="Schlauch 13 mm 0,5 Meter",M$19*1000^2/($M$16*($K77/2000)^2*PI())*($K77/1000)/$O$16&gt;1000),2.3,1)))</f>
        <v>1</v>
      </c>
      <c r="AC132">
        <f>IF(AND($J132="Schlauch 8 mm 0,5 Meter",N$19*1000^2/($M$16*($K77/2000)^2*PI())*($K77/1000)/$O$16&gt;1000),2.3,IF(AND($J132="Schlauch 10 mm 0,5 Meter",N$19*1000^2/($M$16*($K77/2000)^2*PI())*($K77/1000)/$O$16&gt;1000),2.3,IF(AND($J132="Schlauch 13 mm 0,5 Meter",N$19*1000^2/($M$16*($K77/2000)^2*PI())*($K77/1000)/$O$16&gt;1000),2.3,1)))</f>
        <v>2.2999999999999998</v>
      </c>
      <c r="AD132">
        <f>IF(AND($J132="Schlauch 8 mm 0,5 Meter",O$19*1000^2/($M$16*($K77/2000)^2*PI())*($K77/1000)/$O$16&gt;1000),2.3,IF(AND($J132="Schlauch 10 mm 0,5 Meter",O$19*1000^2/($M$16*($K77/2000)^2*PI())*($K77/1000)/$O$16&gt;1000),2.3,IF(AND($J132="Schlauch 13 mm 0,5 Meter",O$19*1000^2/($M$16*($K77/2000)^2*PI())*($K77/1000)/$O$16&gt;1000),2.3,1)))</f>
        <v>2.2999999999999998</v>
      </c>
      <c r="AE132">
        <f>IF(AND($J132="Schlauch 8 mm 0,5 Meter",P$19*1000^2/($M$16*($K77/2000)^2*PI())*($K77/1000)/$O$16&gt;1000),2.3,IF(AND($J132="Schlauch 10 mm 0,5 Meter",P$19*1000^2/($M$16*($K77/2000)^2*PI())*($K77/1000)/$O$16&gt;1000),2.3,IF(AND($J132="Schlauch 13 mm 0,5 Meter",P$19*1000^2/($M$16*($K77/2000)^2*PI())*($K77/1000)/$O$16&gt;1000),2.3,1)))</f>
        <v>2.2999999999999998</v>
      </c>
      <c r="AF132">
        <f>IF(AND($J132="Schlauch 8 mm 0,5 Meter",Q$19*1000^2/($M$16*($K77/2000)^2*PI())*($K77/1000)/$O$16&gt;1000),2.3,IF(AND($J132="Schlauch 10 mm 0,5 Meter",Q$19*1000^2/($M$16*($K77/2000)^2*PI())*($K77/1000)/$O$16&gt;1000),2.3,IF(AND($J132="Schlauch 13 mm 0,5 Meter",Q$19*1000^2/($M$16*($K77/2000)^2*PI())*($K77/1000)/$O$16&gt;1000),2.3,1)))</f>
        <v>2.2999999999999998</v>
      </c>
      <c r="AG132">
        <f>IF(AND($J132="Schlauch 8 mm 0,5 Meter",R$19*1000^2/($M$16*($K77/2000)^2*PI())*($K77/1000)/$O$16&gt;1000),2.3,IF(AND($J132="Schlauch 10 mm 0,5 Meter",R$19*1000^2/($M$16*($K77/2000)^2*PI())*($K77/1000)/$O$16&gt;1000),2.3,IF(AND($J132="Schlauch 13 mm 0,5 Meter",R$19*1000^2/($M$16*($K77/2000)^2*PI())*($K77/1000)/$O$16&gt;1000),2.3,1)))</f>
        <v>2.2999999999999998</v>
      </c>
      <c r="AH132">
        <f>IF(AND($J132="Schlauch 8 mm 0,5 Meter",S$19*1000^2/($M$16*($K77/2000)^2*PI())*($K77/1000)/$O$16&gt;1000),2.3,IF(AND($J132="Schlauch 10 mm 0,5 Meter",S$19*1000^2/($M$16*($K77/2000)^2*PI())*($K77/1000)/$O$16&gt;1000),2.3,IF(AND($J132="Schlauch 13 mm 0,5 Meter",S$19*1000^2/($M$16*($K77/2000)^2*PI())*($K77/1000)/$O$16&gt;1000),2.3,1)))</f>
        <v>2.2999999999999998</v>
      </c>
      <c r="AI132">
        <f>IF(AND($J132="Schlauch 8 mm 0,5 Meter",T$19*1000^2/($M$16*($K77/2000)^2*PI())*($K77/1000)/$O$16&gt;1000),2.3,IF(AND($J132="Schlauch 10 mm 0,5 Meter",T$19*1000^2/($M$16*($K77/2000)^2*PI())*($K77/1000)/$O$16&gt;1000),2.3,IF(AND($J132="Schlauch 13 mm 0,5 Meter",T$19*1000^2/($M$16*($K77/2000)^2*PI())*($K77/1000)/$O$16&gt;1000),2.3,1)))</f>
        <v>2.2999999999999998</v>
      </c>
      <c r="AJ132">
        <f>IF(AND($J132="Schlauch 8 mm 0,5 Meter",U$19*1000^2/($M$16*($K77/2000)^2*PI())*($K77/1000)/$O$16&gt;1000),2.3,IF(AND($J132="Schlauch 10 mm 0,5 Meter",U$19*1000^2/($M$16*($K77/2000)^2*PI())*($K77/1000)/$O$16&gt;1000),2.3,IF(AND($J132="Schlauch 13 mm 0,5 Meter",U$19*1000^2/($M$16*($K77/2000)^2*PI())*($K77/1000)/$O$16&gt;1000),2.3,1)))</f>
        <v>2.2999999999999998</v>
      </c>
      <c r="AK132">
        <f>IF(AND($J132="Schlauch 8 mm 0,5 Meter",V$19*1000^2/($M$16*($K77/2000)^2*PI())*($K77/1000)/$O$16&gt;1000),2.3,IF(AND($J132="Schlauch 10 mm 0,5 Meter",V$19*1000^2/($M$16*($K77/2000)^2*PI())*($K77/1000)/$O$16&gt;1000),2.3,IF(AND($J132="Schlauch 13 mm 0,5 Meter",V$19*1000^2/($M$16*($K77/2000)^2*PI())*($K77/1000)/$O$16&gt;1000),2.3,1)))</f>
        <v>2.2999999999999998</v>
      </c>
      <c r="AL132">
        <f>IF(AND($J132="Schlauch 8 mm 0,5 Meter",W$19*1000^2/($M$16*($K77/2000)^2*PI())*($K77/1000)/$O$16&gt;1000),2.3,IF(AND($J132="Schlauch 10 mm 0,5 Meter",W$19*1000^2/($M$16*($K77/2000)^2*PI())*($K77/1000)/$O$16&gt;1000),2.3,IF(AND($J132="Schlauch 13 mm 0,5 Meter",W$19*1000^2/($M$16*($K77/2000)^2*PI())*($K77/1000)/$O$16&gt;1000),2.3,1)))</f>
        <v>2.2999999999999998</v>
      </c>
      <c r="AM132">
        <f>IF(AND($J132="Schlauch 8 mm 0,5 Meter",X$19*1000^2/($M$16*($K77/2000)^2*PI())*($K77/1000)/$O$16&gt;1000),2.3,IF(AND($J132="Schlauch 10 mm 0,5 Meter",X$19*1000^2/($M$16*($K77/2000)^2*PI())*($K77/1000)/$O$16&gt;1000),2.3,IF(AND($J132="Schlauch 13 mm 0,5 Meter",X$19*1000^2/($M$16*($K77/2000)^2*PI())*($K77/1000)/$O$16&gt;1000),2.3,1)))</f>
        <v>2.2999999999999998</v>
      </c>
      <c r="AN132">
        <f>IF(AND($J132="Schlauch 8 mm 0,5 Meter",Y$19*1000^2/($M$16*($K77/2000)^2*PI())*($K77/1000)/$O$16&gt;1000),2.3,IF(AND($J132="Schlauch 10 mm 0,5 Meter",Y$19*1000^2/($M$16*($K77/2000)^2*PI())*($K77/1000)/$O$16&gt;1000),2.3,IF(AND($J132="Schlauch 13 mm 0,5 Meter",Y$19*1000^2/($M$16*($K77/2000)^2*PI())*($K77/1000)/$O$16&gt;1000),2.3,1)))</f>
        <v>2.2999999999999998</v>
      </c>
      <c r="AQ132">
        <v>109</v>
      </c>
      <c r="AR132" s="14">
        <v>4.5327722253490128</v>
      </c>
      <c r="AS132" s="13">
        <f t="shared" si="30"/>
        <v>44372.881999012578</v>
      </c>
      <c r="AT132" s="9">
        <v>3.5053251870723798</v>
      </c>
      <c r="AU132" s="13">
        <f t="shared" si="31"/>
        <v>34314.846006221516</v>
      </c>
    </row>
    <row r="133" spans="1:47" x14ac:dyDescent="0.35">
      <c r="A133">
        <f t="shared" si="26"/>
        <v>110</v>
      </c>
      <c r="B133" s="13">
        <f t="shared" si="27"/>
        <v>44339.811147391927</v>
      </c>
      <c r="F133">
        <f t="shared" si="28"/>
        <v>110</v>
      </c>
      <c r="G133" s="13">
        <f t="shared" si="29"/>
        <v>34292.085792770311</v>
      </c>
      <c r="I133" s="1">
        <v>8</v>
      </c>
      <c r="J133" t="s">
        <v>66</v>
      </c>
      <c r="K133">
        <f t="shared" si="35"/>
        <v>10</v>
      </c>
      <c r="L133" s="4" t="s">
        <v>12</v>
      </c>
      <c r="M133" s="1">
        <v>0</v>
      </c>
      <c r="N133" s="10">
        <f>IF(N$19*1000^2/($M$16*($K133/2000)^2*PI())*($K133/1000)/$O$16&lt;2320,(64*500*1000*$M$16*(N$19/($M$16*($K133/2000)^2*PI()))^2)/((N$19*1000^2/($M$16*($K133/2000)^2*PI())*($K133/1000)/$O$16)*1000*$K133*2)*AC133,(0.3164*500*1000*$M$16*(N$19/($M$16*($K133/2000)^2*PI()))^2)/(((N$19*1000^2/($M$16*($K133/2000)^2*PI())*($K133/1000)/$O$16))^0.25*1000*$K133*2)*AC133)</f>
        <v>27.145999467252636</v>
      </c>
      <c r="O133" s="10">
        <f>IF(O$19*1000^2/($M$16*($K133/2000)^2*PI())*($K133/1000)/$O$16&lt;2320,(64*500*1000*$M$16*(O$19/($M$16*($K133/2000)^2*PI()))^2)/((O$19*1000^2/($M$16*($K133/2000)^2*PI())*($K133/1000)/$O$16)*1000*$K133*2)*AD133,(0.3164*500*1000*$M$16*(O$19/($M$16*($K133/2000)^2*PI()))^2)/(((O$19*1000^2/($M$16*($K133/2000)^2*PI())*($K133/1000)/$O$16))^0.25*1000*$K133*2)*AD133)</f>
        <v>82.439024603714259</v>
      </c>
      <c r="P133" s="10">
        <f>IF(P$19*1000^2/($M$16*($K133/2000)^2*PI())*($K133/1000)/$O$16&lt;2320,(64*500*1000*$M$16*(P$19/($M$16*($K133/2000)^2*PI()))^2)/((P$19*1000^2/($M$16*($K133/2000)^2*PI())*($K133/1000)/$O$16)*1000*$K133*2)*AE133,(0.3164*500*1000*$M$16*(P$19/($M$16*($K133/2000)^2*PI()))^2)/(((P$19*1000^2/($M$16*($K133/2000)^2*PI())*($K133/1000)/$O$16))^0.25*1000*$K133*2)*AE133)</f>
        <v>153.89031005468519</v>
      </c>
      <c r="Q133" s="10">
        <f>IF(Q$19*1000^2/($M$16*($K133/2000)^2*PI())*($K133/1000)/$O$16&lt;2320,(64*500*1000*$M$16*(Q$19/($M$16*($K133/2000)^2*PI()))^2)/((Q$19*1000^2/($M$16*($K133/2000)^2*PI())*($K133/1000)/$O$16)*1000*$K133*2)*AF133,(0.3164*500*1000*$M$16*(Q$19/($M$16*($K133/2000)^2*PI()))^2)/(((Q$19*1000^2/($M$16*($K133/2000)^2*PI())*($K133/1000)/$O$16))^0.25*1000*$K133*2)*AF133)</f>
        <v>243.56346352886044</v>
      </c>
      <c r="R133" s="10">
        <f>IF(R$19*1000^2/($M$16*($K133/2000)^2*PI())*($K133/1000)/$O$16&lt;2320,(64*500*1000*$M$16*(R$19/($M$16*($K133/2000)^2*PI()))^2)/((R$19*1000^2/($M$16*($K133/2000)^2*PI())*($K133/1000)/$O$16)*1000*$K133*2)*AG133,(0.3164*500*1000*$M$16*(R$19/($M$16*($K133/2000)^2*PI()))^2)/(((R$19*1000^2/($M$16*($K133/2000)^2*PI())*($K133/1000)/$O$16))^0.25*1000*$K133*2)*AG133)</f>
        <v>350.2847613116831</v>
      </c>
      <c r="S133" s="10">
        <f>IF(S$19*1000^2/($M$16*($K133/2000)^2*PI())*($K133/1000)/$O$16&lt;2320,(64*500*1000*$M$16*(S$19/($M$16*($K133/2000)^2*PI()))^2)/((S$19*1000^2/($M$16*($K133/2000)^2*PI())*($K133/1000)/$O$16)*1000*$K133*2)*AH133,(0.3164*500*1000*$M$16*(S$19/($M$16*($K133/2000)^2*PI()))^2)/(((S$19*1000^2/($M$16*($K133/2000)^2*PI())*($K133/1000)/$O$16))^0.25*1000*$K133*2)*AH133)</f>
        <v>473.18402738107005</v>
      </c>
      <c r="T133" s="10">
        <f>IF(T$19*1000^2/($M$16*($K133/2000)^2*PI())*($K133/1000)/$O$16&lt;2320,(64*500*1000*$M$16*(T$19/($M$16*($K133/2000)^2*PI()))^2)/((T$19*1000^2/($M$16*($K133/2000)^2*PI())*($K133/1000)/$O$16)*1000*$K133*2)*AI133,(0.3164*500*1000*$M$16*(T$19/($M$16*($K133/2000)^2*PI()))^2)/(((T$19*1000^2/($M$16*($K133/2000)^2*PI())*($K133/1000)/$O$16))^0.25*1000*$K133*2)*AI133)</f>
        <v>611.57674914540632</v>
      </c>
      <c r="U133" s="10">
        <f>IF(U$19*1000^2/($M$16*($K133/2000)^2*PI())*($K133/1000)/$O$16&lt;2320,(64*500*1000*$M$16*(U$19/($M$16*($K133/2000)^2*PI()))^2)/((U$19*1000^2/($M$16*($K133/2000)^2*PI())*($K133/1000)/$O$16)*1000*$K133*2)*AJ133,(0.3164*500*1000*$M$16*(U$19/($M$16*($K133/2000)^2*PI()))^2)/(((U$19*1000^2/($M$16*($K133/2000)^2*PI())*($K133/1000)/$O$16))^0.25*1000*$K133*2)*AJ133)</f>
        <v>764.90286892110566</v>
      </c>
      <c r="V133" s="10">
        <f>IF(V$19*1000^2/($M$16*($K133/2000)^2*PI())*($K133/1000)/$O$16&lt;2320,(64*500*1000*$M$16*(V$19/($M$16*($K133/2000)^2*PI()))^2)/((V$19*1000^2/($M$16*($K133/2000)^2*PI())*($K133/1000)/$O$16)*1000*$K133*2)*AK133,(0.3164*500*1000*$M$16*(V$19/($M$16*($K133/2000)^2*PI()))^2)/(((V$19*1000^2/($M$16*($K133/2000)^2*PI())*($K133/1000)/$O$16))^0.25*1000*$K133*2)*AK133)</f>
        <v>932.69109330705589</v>
      </c>
      <c r="W133" s="10">
        <f>IF(W$19*1000^2/($M$16*($K133/2000)^2*PI())*($K133/1000)/$O$16&lt;2320,(64*500*1000*$M$16*(W$19/($M$16*($K133/2000)^2*PI()))^2)/((W$19*1000^2/($M$16*($K133/2000)^2*PI())*($K133/1000)/$O$16)*1000*$K133*2)*AL133,(0.3164*500*1000*$M$16*(W$19/($M$16*($K133/2000)^2*PI()))^2)/(((W$19*1000^2/($M$16*($K133/2000)^2*PI())*($K133/1000)/$O$16))^0.25*1000*$K133*2)*AL133)</f>
        <v>1114.5363539540324</v>
      </c>
      <c r="X133" s="10">
        <f>IF(X$19*1000^2/($M$16*($K133/2000)^2*PI())*($K133/1000)/$O$16&lt;2320,(64*500*1000*$M$16*(X$19/($M$16*($K133/2000)^2*PI()))^2)/((X$19*1000^2/($M$16*($K133/2000)^2*PI())*($K133/1000)/$O$16)*1000*$K133*2)*AM133,(0.3164*500*1000*$M$16*(X$19/($M$16*($K133/2000)^2*PI()))^2)/(((X$19*1000^2/($M$16*($K133/2000)^2*PI())*($K133/1000)/$O$16))^0.25*1000*$K133*2)*AM133)</f>
        <v>1310.084714411021</v>
      </c>
      <c r="Y133" s="10">
        <f>IF(Y$19*1000^2/($M$16*($K133/2000)^2*PI())*($K133/1000)/$O$16&lt;2320,(64*500*1000*$M$16*(Y$19/($M$16*($K133/2000)^2*PI()))^2)/((Y$19*1000^2/($M$16*($K133/2000)^2*PI())*($K133/1000)/$O$16)*1000*$K133*2)*AN133,(0.3164*500*1000*$M$16*(Y$19/($M$16*($K133/2000)^2*PI()))^2)/(((Y$19*1000^2/($M$16*($K133/2000)^2*PI())*($K133/1000)/$O$16))^0.25*1000*$K133*2)*AN133)</f>
        <v>1519.0227973944825</v>
      </c>
      <c r="AB133">
        <f>IF(AND($J133="Schlauch 8 mm 0,5 Meter",M$19*1000^2/($M$16*($K78/2000)^2*PI())*($K78/1000)/$O$16&gt;1000),2.3,IF(AND($J133="Schlauch 10 mm 0,5 Meter",M$19*1000^2/($M$16*($K78/2000)^2*PI())*($K78/1000)/$O$16&gt;1000),2.3,IF(AND($J133="Schlauch 13 mm 0,5 Meter",M$19*1000^2/($M$16*($K78/2000)^2*PI())*($K78/1000)/$O$16&gt;1000),2.3,1)))</f>
        <v>1</v>
      </c>
      <c r="AC133">
        <f>IF(AND($J133="Schlauch 8 mm 0,5 Meter",N$19*1000^2/($M$16*($K78/2000)^2*PI())*($K78/1000)/$O$16&gt;1000),2.3,IF(AND($J133="Schlauch 10 mm 0,5 Meter",N$19*1000^2/($M$16*($K78/2000)^2*PI())*($K78/1000)/$O$16&gt;1000),2.3,IF(AND($J133="Schlauch 13 mm 0,5 Meter",N$19*1000^2/($M$16*($K78/2000)^2*PI())*($K78/1000)/$O$16&gt;1000),2.3,1)))</f>
        <v>2.2999999999999998</v>
      </c>
      <c r="AD133">
        <f>IF(AND($J133="Schlauch 8 mm 0,5 Meter",O$19*1000^2/($M$16*($K78/2000)^2*PI())*($K78/1000)/$O$16&gt;1000),2.3,IF(AND($J133="Schlauch 10 mm 0,5 Meter",O$19*1000^2/($M$16*($K78/2000)^2*PI())*($K78/1000)/$O$16&gt;1000),2.3,IF(AND($J133="Schlauch 13 mm 0,5 Meter",O$19*1000^2/($M$16*($K78/2000)^2*PI())*($K78/1000)/$O$16&gt;1000),2.3,1)))</f>
        <v>2.2999999999999998</v>
      </c>
      <c r="AE133">
        <f>IF(AND($J133="Schlauch 8 mm 0,5 Meter",P$19*1000^2/($M$16*($K78/2000)^2*PI())*($K78/1000)/$O$16&gt;1000),2.3,IF(AND($J133="Schlauch 10 mm 0,5 Meter",P$19*1000^2/($M$16*($K78/2000)^2*PI())*($K78/1000)/$O$16&gt;1000),2.3,IF(AND($J133="Schlauch 13 mm 0,5 Meter",P$19*1000^2/($M$16*($K78/2000)^2*PI())*($K78/1000)/$O$16&gt;1000),2.3,1)))</f>
        <v>2.2999999999999998</v>
      </c>
      <c r="AF133">
        <f>IF(AND($J133="Schlauch 8 mm 0,5 Meter",Q$19*1000^2/($M$16*($K78/2000)^2*PI())*($K78/1000)/$O$16&gt;1000),2.3,IF(AND($J133="Schlauch 10 mm 0,5 Meter",Q$19*1000^2/($M$16*($K78/2000)^2*PI())*($K78/1000)/$O$16&gt;1000),2.3,IF(AND($J133="Schlauch 13 mm 0,5 Meter",Q$19*1000^2/($M$16*($K78/2000)^2*PI())*($K78/1000)/$O$16&gt;1000),2.3,1)))</f>
        <v>2.2999999999999998</v>
      </c>
      <c r="AG133">
        <f>IF(AND($J133="Schlauch 8 mm 0,5 Meter",R$19*1000^2/($M$16*($K78/2000)^2*PI())*($K78/1000)/$O$16&gt;1000),2.3,IF(AND($J133="Schlauch 10 mm 0,5 Meter",R$19*1000^2/($M$16*($K78/2000)^2*PI())*($K78/1000)/$O$16&gt;1000),2.3,IF(AND($J133="Schlauch 13 mm 0,5 Meter",R$19*1000^2/($M$16*($K78/2000)^2*PI())*($K78/1000)/$O$16&gt;1000),2.3,1)))</f>
        <v>2.2999999999999998</v>
      </c>
      <c r="AH133">
        <f>IF(AND($J133="Schlauch 8 mm 0,5 Meter",S$19*1000^2/($M$16*($K78/2000)^2*PI())*($K78/1000)/$O$16&gt;1000),2.3,IF(AND($J133="Schlauch 10 mm 0,5 Meter",S$19*1000^2/($M$16*($K78/2000)^2*PI())*($K78/1000)/$O$16&gt;1000),2.3,IF(AND($J133="Schlauch 13 mm 0,5 Meter",S$19*1000^2/($M$16*($K78/2000)^2*PI())*($K78/1000)/$O$16&gt;1000),2.3,1)))</f>
        <v>2.2999999999999998</v>
      </c>
      <c r="AI133">
        <f>IF(AND($J133="Schlauch 8 mm 0,5 Meter",T$19*1000^2/($M$16*($K78/2000)^2*PI())*($K78/1000)/$O$16&gt;1000),2.3,IF(AND($J133="Schlauch 10 mm 0,5 Meter",T$19*1000^2/($M$16*($K78/2000)^2*PI())*($K78/1000)/$O$16&gt;1000),2.3,IF(AND($J133="Schlauch 13 mm 0,5 Meter",T$19*1000^2/($M$16*($K78/2000)^2*PI())*($K78/1000)/$O$16&gt;1000),2.3,1)))</f>
        <v>2.2999999999999998</v>
      </c>
      <c r="AJ133">
        <f>IF(AND($J133="Schlauch 8 mm 0,5 Meter",U$19*1000^2/($M$16*($K78/2000)^2*PI())*($K78/1000)/$O$16&gt;1000),2.3,IF(AND($J133="Schlauch 10 mm 0,5 Meter",U$19*1000^2/($M$16*($K78/2000)^2*PI())*($K78/1000)/$O$16&gt;1000),2.3,IF(AND($J133="Schlauch 13 mm 0,5 Meter",U$19*1000^2/($M$16*($K78/2000)^2*PI())*($K78/1000)/$O$16&gt;1000),2.3,1)))</f>
        <v>2.2999999999999998</v>
      </c>
      <c r="AK133">
        <f>IF(AND($J133="Schlauch 8 mm 0,5 Meter",V$19*1000^2/($M$16*($K78/2000)^2*PI())*($K78/1000)/$O$16&gt;1000),2.3,IF(AND($J133="Schlauch 10 mm 0,5 Meter",V$19*1000^2/($M$16*($K78/2000)^2*PI())*($K78/1000)/$O$16&gt;1000),2.3,IF(AND($J133="Schlauch 13 mm 0,5 Meter",V$19*1000^2/($M$16*($K78/2000)^2*PI())*($K78/1000)/$O$16&gt;1000),2.3,1)))</f>
        <v>2.2999999999999998</v>
      </c>
      <c r="AL133">
        <f>IF(AND($J133="Schlauch 8 mm 0,5 Meter",W$19*1000^2/($M$16*($K78/2000)^2*PI())*($K78/1000)/$O$16&gt;1000),2.3,IF(AND($J133="Schlauch 10 mm 0,5 Meter",W$19*1000^2/($M$16*($K78/2000)^2*PI())*($K78/1000)/$O$16&gt;1000),2.3,IF(AND($J133="Schlauch 13 mm 0,5 Meter",W$19*1000^2/($M$16*($K78/2000)^2*PI())*($K78/1000)/$O$16&gt;1000),2.3,1)))</f>
        <v>2.2999999999999998</v>
      </c>
      <c r="AM133">
        <f>IF(AND($J133="Schlauch 8 mm 0,5 Meter",X$19*1000^2/($M$16*($K78/2000)^2*PI())*($K78/1000)/$O$16&gt;1000),2.3,IF(AND($J133="Schlauch 10 mm 0,5 Meter",X$19*1000^2/($M$16*($K78/2000)^2*PI())*($K78/1000)/$O$16&gt;1000),2.3,IF(AND($J133="Schlauch 13 mm 0,5 Meter",X$19*1000^2/($M$16*($K78/2000)^2*PI())*($K78/1000)/$O$16&gt;1000),2.3,1)))</f>
        <v>2.2999999999999998</v>
      </c>
      <c r="AN133">
        <f>IF(AND($J133="Schlauch 8 mm 0,5 Meter",Y$19*1000^2/($M$16*($K78/2000)^2*PI())*($K78/1000)/$O$16&gt;1000),2.3,IF(AND($J133="Schlauch 10 mm 0,5 Meter",Y$19*1000^2/($M$16*($K78/2000)^2*PI())*($K78/1000)/$O$16&gt;1000),2.3,IF(AND($J133="Schlauch 13 mm 0,5 Meter",Y$19*1000^2/($M$16*($K78/2000)^2*PI())*($K78/1000)/$O$16&gt;1000),2.3,1)))</f>
        <v>2.2999999999999998</v>
      </c>
      <c r="AQ133">
        <v>110</v>
      </c>
      <c r="AR133" s="14">
        <v>4.5293939764965261</v>
      </c>
      <c r="AS133" s="13">
        <f t="shared" si="30"/>
        <v>44339.811147391927</v>
      </c>
      <c r="AT133" s="9">
        <v>3.5030001890391906</v>
      </c>
      <c r="AU133" s="13">
        <f t="shared" si="31"/>
        <v>34292.085792770311</v>
      </c>
    </row>
    <row r="134" spans="1:47" x14ac:dyDescent="0.35">
      <c r="A134">
        <f t="shared" si="26"/>
        <v>111</v>
      </c>
      <c r="B134" s="13">
        <f t="shared" si="27"/>
        <v>44306.380585079278</v>
      </c>
      <c r="F134">
        <f t="shared" si="28"/>
        <v>111</v>
      </c>
      <c r="G134" s="13">
        <f t="shared" si="29"/>
        <v>34269.26342055852</v>
      </c>
      <c r="I134" s="1">
        <v>9</v>
      </c>
      <c r="J134" t="s">
        <v>66</v>
      </c>
      <c r="K134">
        <f t="shared" si="35"/>
        <v>10</v>
      </c>
      <c r="L134" s="4" t="s">
        <v>12</v>
      </c>
      <c r="M134" s="1">
        <v>0</v>
      </c>
      <c r="N134" s="10">
        <f>IF(N$19*1000^2/($M$16*($K134/2000)^2*PI())*($K134/1000)/$O$16&lt;2320,(64*500*1000*$M$16*(N$19/($M$16*($K134/2000)^2*PI()))^2)/((N$19*1000^2/($M$16*($K134/2000)^2*PI())*($K134/1000)/$O$16)*1000*$K134*2)*AC134,(0.3164*500*1000*$M$16*(N$19/($M$16*($K134/2000)^2*PI()))^2)/(((N$19*1000^2/($M$16*($K134/2000)^2*PI())*($K134/1000)/$O$16))^0.25*1000*$K134*2)*AC134)</f>
        <v>27.145999467252636</v>
      </c>
      <c r="O134" s="10">
        <f>IF(O$19*1000^2/($M$16*($K134/2000)^2*PI())*($K134/1000)/$O$16&lt;2320,(64*500*1000*$M$16*(O$19/($M$16*($K134/2000)^2*PI()))^2)/((O$19*1000^2/($M$16*($K134/2000)^2*PI())*($K134/1000)/$O$16)*1000*$K134*2)*AD134,(0.3164*500*1000*$M$16*(O$19/($M$16*($K134/2000)^2*PI()))^2)/(((O$19*1000^2/($M$16*($K134/2000)^2*PI())*($K134/1000)/$O$16))^0.25*1000*$K134*2)*AD134)</f>
        <v>82.439024603714259</v>
      </c>
      <c r="P134" s="10">
        <f>IF(P$19*1000^2/($M$16*($K134/2000)^2*PI())*($K134/1000)/$O$16&lt;2320,(64*500*1000*$M$16*(P$19/($M$16*($K134/2000)^2*PI()))^2)/((P$19*1000^2/($M$16*($K134/2000)^2*PI())*($K134/1000)/$O$16)*1000*$K134*2)*AE134,(0.3164*500*1000*$M$16*(P$19/($M$16*($K134/2000)^2*PI()))^2)/(((P$19*1000^2/($M$16*($K134/2000)^2*PI())*($K134/1000)/$O$16))^0.25*1000*$K134*2)*AE134)</f>
        <v>153.89031005468519</v>
      </c>
      <c r="Q134" s="10">
        <f>IF(Q$19*1000^2/($M$16*($K134/2000)^2*PI())*($K134/1000)/$O$16&lt;2320,(64*500*1000*$M$16*(Q$19/($M$16*($K134/2000)^2*PI()))^2)/((Q$19*1000^2/($M$16*($K134/2000)^2*PI())*($K134/1000)/$O$16)*1000*$K134*2)*AF134,(0.3164*500*1000*$M$16*(Q$19/($M$16*($K134/2000)^2*PI()))^2)/(((Q$19*1000^2/($M$16*($K134/2000)^2*PI())*($K134/1000)/$O$16))^0.25*1000*$K134*2)*AF134)</f>
        <v>243.56346352886044</v>
      </c>
      <c r="R134" s="10">
        <f>IF(R$19*1000^2/($M$16*($K134/2000)^2*PI())*($K134/1000)/$O$16&lt;2320,(64*500*1000*$M$16*(R$19/($M$16*($K134/2000)^2*PI()))^2)/((R$19*1000^2/($M$16*($K134/2000)^2*PI())*($K134/1000)/$O$16)*1000*$K134*2)*AG134,(0.3164*500*1000*$M$16*(R$19/($M$16*($K134/2000)^2*PI()))^2)/(((R$19*1000^2/($M$16*($K134/2000)^2*PI())*($K134/1000)/$O$16))^0.25*1000*$K134*2)*AG134)</f>
        <v>350.2847613116831</v>
      </c>
      <c r="S134" s="10">
        <f>IF(S$19*1000^2/($M$16*($K134/2000)^2*PI())*($K134/1000)/$O$16&lt;2320,(64*500*1000*$M$16*(S$19/($M$16*($K134/2000)^2*PI()))^2)/((S$19*1000^2/($M$16*($K134/2000)^2*PI())*($K134/1000)/$O$16)*1000*$K134*2)*AH134,(0.3164*500*1000*$M$16*(S$19/($M$16*($K134/2000)^2*PI()))^2)/(((S$19*1000^2/($M$16*($K134/2000)^2*PI())*($K134/1000)/$O$16))^0.25*1000*$K134*2)*AH134)</f>
        <v>473.18402738107005</v>
      </c>
      <c r="T134" s="10">
        <f>IF(T$19*1000^2/($M$16*($K134/2000)^2*PI())*($K134/1000)/$O$16&lt;2320,(64*500*1000*$M$16*(T$19/($M$16*($K134/2000)^2*PI()))^2)/((T$19*1000^2/($M$16*($K134/2000)^2*PI())*($K134/1000)/$O$16)*1000*$K134*2)*AI134,(0.3164*500*1000*$M$16*(T$19/($M$16*($K134/2000)^2*PI()))^2)/(((T$19*1000^2/($M$16*($K134/2000)^2*PI())*($K134/1000)/$O$16))^0.25*1000*$K134*2)*AI134)</f>
        <v>611.57674914540632</v>
      </c>
      <c r="U134" s="10">
        <f>IF(U$19*1000^2/($M$16*($K134/2000)^2*PI())*($K134/1000)/$O$16&lt;2320,(64*500*1000*$M$16*(U$19/($M$16*($K134/2000)^2*PI()))^2)/((U$19*1000^2/($M$16*($K134/2000)^2*PI())*($K134/1000)/$O$16)*1000*$K134*2)*AJ134,(0.3164*500*1000*$M$16*(U$19/($M$16*($K134/2000)^2*PI()))^2)/(((U$19*1000^2/($M$16*($K134/2000)^2*PI())*($K134/1000)/$O$16))^0.25*1000*$K134*2)*AJ134)</f>
        <v>764.90286892110566</v>
      </c>
      <c r="V134" s="10">
        <f>IF(V$19*1000^2/($M$16*($K134/2000)^2*PI())*($K134/1000)/$O$16&lt;2320,(64*500*1000*$M$16*(V$19/($M$16*($K134/2000)^2*PI()))^2)/((V$19*1000^2/($M$16*($K134/2000)^2*PI())*($K134/1000)/$O$16)*1000*$K134*2)*AK134,(0.3164*500*1000*$M$16*(V$19/($M$16*($K134/2000)^2*PI()))^2)/(((V$19*1000^2/($M$16*($K134/2000)^2*PI())*($K134/1000)/$O$16))^0.25*1000*$K134*2)*AK134)</f>
        <v>932.69109330705589</v>
      </c>
      <c r="W134" s="10">
        <f>IF(W$19*1000^2/($M$16*($K134/2000)^2*PI())*($K134/1000)/$O$16&lt;2320,(64*500*1000*$M$16*(W$19/($M$16*($K134/2000)^2*PI()))^2)/((W$19*1000^2/($M$16*($K134/2000)^2*PI())*($K134/1000)/$O$16)*1000*$K134*2)*AL134,(0.3164*500*1000*$M$16*(W$19/($M$16*($K134/2000)^2*PI()))^2)/(((W$19*1000^2/($M$16*($K134/2000)^2*PI())*($K134/1000)/$O$16))^0.25*1000*$K134*2)*AL134)</f>
        <v>1114.5363539540324</v>
      </c>
      <c r="X134" s="10">
        <f>IF(X$19*1000^2/($M$16*($K134/2000)^2*PI())*($K134/1000)/$O$16&lt;2320,(64*500*1000*$M$16*(X$19/($M$16*($K134/2000)^2*PI()))^2)/((X$19*1000^2/($M$16*($K134/2000)^2*PI())*($K134/1000)/$O$16)*1000*$K134*2)*AM134,(0.3164*500*1000*$M$16*(X$19/($M$16*($K134/2000)^2*PI()))^2)/(((X$19*1000^2/($M$16*($K134/2000)^2*PI())*($K134/1000)/$O$16))^0.25*1000*$K134*2)*AM134)</f>
        <v>1310.084714411021</v>
      </c>
      <c r="Y134" s="10">
        <f>IF(Y$19*1000^2/($M$16*($K134/2000)^2*PI())*($K134/1000)/$O$16&lt;2320,(64*500*1000*$M$16*(Y$19/($M$16*($K134/2000)^2*PI()))^2)/((Y$19*1000^2/($M$16*($K134/2000)^2*PI())*($K134/1000)/$O$16)*1000*$K134*2)*AN134,(0.3164*500*1000*$M$16*(Y$19/($M$16*($K134/2000)^2*PI()))^2)/(((Y$19*1000^2/($M$16*($K134/2000)^2*PI())*($K134/1000)/$O$16))^0.25*1000*$K134*2)*AN134)</f>
        <v>1519.0227973944825</v>
      </c>
      <c r="AB134">
        <f>IF(AND($J134="Schlauch 8 mm 0,5 Meter",M$19*1000^2/($M$16*($K79/2000)^2*PI())*($K79/1000)/$O$16&gt;1000),2.3,IF(AND($J134="Schlauch 10 mm 0,5 Meter",M$19*1000^2/($M$16*($K79/2000)^2*PI())*($K79/1000)/$O$16&gt;1000),2.3,IF(AND($J134="Schlauch 13 mm 0,5 Meter",M$19*1000^2/($M$16*($K79/2000)^2*PI())*($K79/1000)/$O$16&gt;1000),2.3,1)))</f>
        <v>1</v>
      </c>
      <c r="AC134">
        <f>IF(AND($J134="Schlauch 8 mm 0,5 Meter",N$19*1000^2/($M$16*($K79/2000)^2*PI())*($K79/1000)/$O$16&gt;1000),2.3,IF(AND($J134="Schlauch 10 mm 0,5 Meter",N$19*1000^2/($M$16*($K79/2000)^2*PI())*($K79/1000)/$O$16&gt;1000),2.3,IF(AND($J134="Schlauch 13 mm 0,5 Meter",N$19*1000^2/($M$16*($K79/2000)^2*PI())*($K79/1000)/$O$16&gt;1000),2.3,1)))</f>
        <v>2.2999999999999998</v>
      </c>
      <c r="AD134">
        <f>IF(AND($J134="Schlauch 8 mm 0,5 Meter",O$19*1000^2/($M$16*($K79/2000)^2*PI())*($K79/1000)/$O$16&gt;1000),2.3,IF(AND($J134="Schlauch 10 mm 0,5 Meter",O$19*1000^2/($M$16*($K79/2000)^2*PI())*($K79/1000)/$O$16&gt;1000),2.3,IF(AND($J134="Schlauch 13 mm 0,5 Meter",O$19*1000^2/($M$16*($K79/2000)^2*PI())*($K79/1000)/$O$16&gt;1000),2.3,1)))</f>
        <v>2.2999999999999998</v>
      </c>
      <c r="AE134">
        <f>IF(AND($J134="Schlauch 8 mm 0,5 Meter",P$19*1000^2/($M$16*($K79/2000)^2*PI())*($K79/1000)/$O$16&gt;1000),2.3,IF(AND($J134="Schlauch 10 mm 0,5 Meter",P$19*1000^2/($M$16*($K79/2000)^2*PI())*($K79/1000)/$O$16&gt;1000),2.3,IF(AND($J134="Schlauch 13 mm 0,5 Meter",P$19*1000^2/($M$16*($K79/2000)^2*PI())*($K79/1000)/$O$16&gt;1000),2.3,1)))</f>
        <v>2.2999999999999998</v>
      </c>
      <c r="AF134">
        <f>IF(AND($J134="Schlauch 8 mm 0,5 Meter",Q$19*1000^2/($M$16*($K79/2000)^2*PI())*($K79/1000)/$O$16&gt;1000),2.3,IF(AND($J134="Schlauch 10 mm 0,5 Meter",Q$19*1000^2/($M$16*($K79/2000)^2*PI())*($K79/1000)/$O$16&gt;1000),2.3,IF(AND($J134="Schlauch 13 mm 0,5 Meter",Q$19*1000^2/($M$16*($K79/2000)^2*PI())*($K79/1000)/$O$16&gt;1000),2.3,1)))</f>
        <v>2.2999999999999998</v>
      </c>
      <c r="AG134">
        <f>IF(AND($J134="Schlauch 8 mm 0,5 Meter",R$19*1000^2/($M$16*($K79/2000)^2*PI())*($K79/1000)/$O$16&gt;1000),2.3,IF(AND($J134="Schlauch 10 mm 0,5 Meter",R$19*1000^2/($M$16*($K79/2000)^2*PI())*($K79/1000)/$O$16&gt;1000),2.3,IF(AND($J134="Schlauch 13 mm 0,5 Meter",R$19*1000^2/($M$16*($K79/2000)^2*PI())*($K79/1000)/$O$16&gt;1000),2.3,1)))</f>
        <v>2.2999999999999998</v>
      </c>
      <c r="AH134">
        <f>IF(AND($J134="Schlauch 8 mm 0,5 Meter",S$19*1000^2/($M$16*($K79/2000)^2*PI())*($K79/1000)/$O$16&gt;1000),2.3,IF(AND($J134="Schlauch 10 mm 0,5 Meter",S$19*1000^2/($M$16*($K79/2000)^2*PI())*($K79/1000)/$O$16&gt;1000),2.3,IF(AND($J134="Schlauch 13 mm 0,5 Meter",S$19*1000^2/($M$16*($K79/2000)^2*PI())*($K79/1000)/$O$16&gt;1000),2.3,1)))</f>
        <v>2.2999999999999998</v>
      </c>
      <c r="AI134">
        <f>IF(AND($J134="Schlauch 8 mm 0,5 Meter",T$19*1000^2/($M$16*($K79/2000)^2*PI())*($K79/1000)/$O$16&gt;1000),2.3,IF(AND($J134="Schlauch 10 mm 0,5 Meter",T$19*1000^2/($M$16*($K79/2000)^2*PI())*($K79/1000)/$O$16&gt;1000),2.3,IF(AND($J134="Schlauch 13 mm 0,5 Meter",T$19*1000^2/($M$16*($K79/2000)^2*PI())*($K79/1000)/$O$16&gt;1000),2.3,1)))</f>
        <v>2.2999999999999998</v>
      </c>
      <c r="AJ134">
        <f>IF(AND($J134="Schlauch 8 mm 0,5 Meter",U$19*1000^2/($M$16*($K79/2000)^2*PI())*($K79/1000)/$O$16&gt;1000),2.3,IF(AND($J134="Schlauch 10 mm 0,5 Meter",U$19*1000^2/($M$16*($K79/2000)^2*PI())*($K79/1000)/$O$16&gt;1000),2.3,IF(AND($J134="Schlauch 13 mm 0,5 Meter",U$19*1000^2/($M$16*($K79/2000)^2*PI())*($K79/1000)/$O$16&gt;1000),2.3,1)))</f>
        <v>2.2999999999999998</v>
      </c>
      <c r="AK134">
        <f>IF(AND($J134="Schlauch 8 mm 0,5 Meter",V$19*1000^2/($M$16*($K79/2000)^2*PI())*($K79/1000)/$O$16&gt;1000),2.3,IF(AND($J134="Schlauch 10 mm 0,5 Meter",V$19*1000^2/($M$16*($K79/2000)^2*PI())*($K79/1000)/$O$16&gt;1000),2.3,IF(AND($J134="Schlauch 13 mm 0,5 Meter",V$19*1000^2/($M$16*($K79/2000)^2*PI())*($K79/1000)/$O$16&gt;1000),2.3,1)))</f>
        <v>2.2999999999999998</v>
      </c>
      <c r="AL134">
        <f>IF(AND($J134="Schlauch 8 mm 0,5 Meter",W$19*1000^2/($M$16*($K79/2000)^2*PI())*($K79/1000)/$O$16&gt;1000),2.3,IF(AND($J134="Schlauch 10 mm 0,5 Meter",W$19*1000^2/($M$16*($K79/2000)^2*PI())*($K79/1000)/$O$16&gt;1000),2.3,IF(AND($J134="Schlauch 13 mm 0,5 Meter",W$19*1000^2/($M$16*($K79/2000)^2*PI())*($K79/1000)/$O$16&gt;1000),2.3,1)))</f>
        <v>2.2999999999999998</v>
      </c>
      <c r="AM134">
        <f>IF(AND($J134="Schlauch 8 mm 0,5 Meter",X$19*1000^2/($M$16*($K79/2000)^2*PI())*($K79/1000)/$O$16&gt;1000),2.3,IF(AND($J134="Schlauch 10 mm 0,5 Meter",X$19*1000^2/($M$16*($K79/2000)^2*PI())*($K79/1000)/$O$16&gt;1000),2.3,IF(AND($J134="Schlauch 13 mm 0,5 Meter",X$19*1000^2/($M$16*($K79/2000)^2*PI())*($K79/1000)/$O$16&gt;1000),2.3,1)))</f>
        <v>2.2999999999999998</v>
      </c>
      <c r="AN134">
        <f>IF(AND($J134="Schlauch 8 mm 0,5 Meter",Y$19*1000^2/($M$16*($K79/2000)^2*PI())*($K79/1000)/$O$16&gt;1000),2.3,IF(AND($J134="Schlauch 10 mm 0,5 Meter",Y$19*1000^2/($M$16*($K79/2000)^2*PI())*($K79/1000)/$O$16&gt;1000),2.3,IF(AND($J134="Schlauch 13 mm 0,5 Meter",Y$19*1000^2/($M$16*($K79/2000)^2*PI())*($K79/1000)/$O$16&gt;1000),2.3,1)))</f>
        <v>2.2999999999999998</v>
      </c>
      <c r="AQ134">
        <v>111</v>
      </c>
      <c r="AR134" s="14">
        <v>4.5259789825294456</v>
      </c>
      <c r="AS134" s="13">
        <f t="shared" si="30"/>
        <v>44306.380585079278</v>
      </c>
      <c r="AT134" s="9">
        <v>3.5006688413732783</v>
      </c>
      <c r="AU134" s="13">
        <f t="shared" si="31"/>
        <v>34269.26342055852</v>
      </c>
    </row>
    <row r="135" spans="1:47" x14ac:dyDescent="0.35">
      <c r="A135">
        <f t="shared" si="26"/>
        <v>112</v>
      </c>
      <c r="B135" s="13">
        <f t="shared" si="27"/>
        <v>44272.589693024405</v>
      </c>
      <c r="F135">
        <f t="shared" si="28"/>
        <v>112</v>
      </c>
      <c r="G135" s="13">
        <f t="shared" si="29"/>
        <v>34246.379282119189</v>
      </c>
      <c r="I135" s="1">
        <v>10</v>
      </c>
      <c r="J135" t="s">
        <v>66</v>
      </c>
      <c r="K135">
        <f t="shared" si="35"/>
        <v>10</v>
      </c>
      <c r="L135" s="4" t="s">
        <v>12</v>
      </c>
      <c r="M135" s="1">
        <v>0</v>
      </c>
      <c r="N135" s="10">
        <f>IF(N$19*1000^2/($M$16*($K135/2000)^2*PI())*($K135/1000)/$O$16&lt;2320,(64*500*1000*$M$16*(N$19/($M$16*($K135/2000)^2*PI()))^2)/((N$19*1000^2/($M$16*($K135/2000)^2*PI())*($K135/1000)/$O$16)*1000*$K135*2)*AC135,(0.3164*500*1000*$M$16*(N$19/($M$16*($K135/2000)^2*PI()))^2)/(((N$19*1000^2/($M$16*($K135/2000)^2*PI())*($K135/1000)/$O$16))^0.25*1000*$K135*2)*AC135)</f>
        <v>27.145999467252636</v>
      </c>
      <c r="O135" s="10">
        <f>IF(O$19*1000^2/($M$16*($K135/2000)^2*PI())*($K135/1000)/$O$16&lt;2320,(64*500*1000*$M$16*(O$19/($M$16*($K135/2000)^2*PI()))^2)/((O$19*1000^2/($M$16*($K135/2000)^2*PI())*($K135/1000)/$O$16)*1000*$K135*2)*AD135,(0.3164*500*1000*$M$16*(O$19/($M$16*($K135/2000)^2*PI()))^2)/(((O$19*1000^2/($M$16*($K135/2000)^2*PI())*($K135/1000)/$O$16))^0.25*1000*$K135*2)*AD135)</f>
        <v>82.439024603714259</v>
      </c>
      <c r="P135" s="10">
        <f>IF(P$19*1000^2/($M$16*($K135/2000)^2*PI())*($K135/1000)/$O$16&lt;2320,(64*500*1000*$M$16*(P$19/($M$16*($K135/2000)^2*PI()))^2)/((P$19*1000^2/($M$16*($K135/2000)^2*PI())*($K135/1000)/$O$16)*1000*$K135*2)*AE135,(0.3164*500*1000*$M$16*(P$19/($M$16*($K135/2000)^2*PI()))^2)/(((P$19*1000^2/($M$16*($K135/2000)^2*PI())*($K135/1000)/$O$16))^0.25*1000*$K135*2)*AE135)</f>
        <v>153.89031005468519</v>
      </c>
      <c r="Q135" s="10">
        <f>IF(Q$19*1000^2/($M$16*($K135/2000)^2*PI())*($K135/1000)/$O$16&lt;2320,(64*500*1000*$M$16*(Q$19/($M$16*($K135/2000)^2*PI()))^2)/((Q$19*1000^2/($M$16*($K135/2000)^2*PI())*($K135/1000)/$O$16)*1000*$K135*2)*AF135,(0.3164*500*1000*$M$16*(Q$19/($M$16*($K135/2000)^2*PI()))^2)/(((Q$19*1000^2/($M$16*($K135/2000)^2*PI())*($K135/1000)/$O$16))^0.25*1000*$K135*2)*AF135)</f>
        <v>243.56346352886044</v>
      </c>
      <c r="R135" s="10">
        <f>IF(R$19*1000^2/($M$16*($K135/2000)^2*PI())*($K135/1000)/$O$16&lt;2320,(64*500*1000*$M$16*(R$19/($M$16*($K135/2000)^2*PI()))^2)/((R$19*1000^2/($M$16*($K135/2000)^2*PI())*($K135/1000)/$O$16)*1000*$K135*2)*AG135,(0.3164*500*1000*$M$16*(R$19/($M$16*($K135/2000)^2*PI()))^2)/(((R$19*1000^2/($M$16*($K135/2000)^2*PI())*($K135/1000)/$O$16))^0.25*1000*$K135*2)*AG135)</f>
        <v>350.2847613116831</v>
      </c>
      <c r="S135" s="10">
        <f>IF(S$19*1000^2/($M$16*($K135/2000)^2*PI())*($K135/1000)/$O$16&lt;2320,(64*500*1000*$M$16*(S$19/($M$16*($K135/2000)^2*PI()))^2)/((S$19*1000^2/($M$16*($K135/2000)^2*PI())*($K135/1000)/$O$16)*1000*$K135*2)*AH135,(0.3164*500*1000*$M$16*(S$19/($M$16*($K135/2000)^2*PI()))^2)/(((S$19*1000^2/($M$16*($K135/2000)^2*PI())*($K135/1000)/$O$16))^0.25*1000*$K135*2)*AH135)</f>
        <v>473.18402738107005</v>
      </c>
      <c r="T135" s="10">
        <f>IF(T$19*1000^2/($M$16*($K135/2000)^2*PI())*($K135/1000)/$O$16&lt;2320,(64*500*1000*$M$16*(T$19/($M$16*($K135/2000)^2*PI()))^2)/((T$19*1000^2/($M$16*($K135/2000)^2*PI())*($K135/1000)/$O$16)*1000*$K135*2)*AI135,(0.3164*500*1000*$M$16*(T$19/($M$16*($K135/2000)^2*PI()))^2)/(((T$19*1000^2/($M$16*($K135/2000)^2*PI())*($K135/1000)/$O$16))^0.25*1000*$K135*2)*AI135)</f>
        <v>611.57674914540632</v>
      </c>
      <c r="U135" s="10">
        <f>IF(U$19*1000^2/($M$16*($K135/2000)^2*PI())*($K135/1000)/$O$16&lt;2320,(64*500*1000*$M$16*(U$19/($M$16*($K135/2000)^2*PI()))^2)/((U$19*1000^2/($M$16*($K135/2000)^2*PI())*($K135/1000)/$O$16)*1000*$K135*2)*AJ135,(0.3164*500*1000*$M$16*(U$19/($M$16*($K135/2000)^2*PI()))^2)/(((U$19*1000^2/($M$16*($K135/2000)^2*PI())*($K135/1000)/$O$16))^0.25*1000*$K135*2)*AJ135)</f>
        <v>764.90286892110566</v>
      </c>
      <c r="V135" s="10">
        <f>IF(V$19*1000^2/($M$16*($K135/2000)^2*PI())*($K135/1000)/$O$16&lt;2320,(64*500*1000*$M$16*(V$19/($M$16*($K135/2000)^2*PI()))^2)/((V$19*1000^2/($M$16*($K135/2000)^2*PI())*($K135/1000)/$O$16)*1000*$K135*2)*AK135,(0.3164*500*1000*$M$16*(V$19/($M$16*($K135/2000)^2*PI()))^2)/(((V$19*1000^2/($M$16*($K135/2000)^2*PI())*($K135/1000)/$O$16))^0.25*1000*$K135*2)*AK135)</f>
        <v>932.69109330705589</v>
      </c>
      <c r="W135" s="10">
        <f>IF(W$19*1000^2/($M$16*($K135/2000)^2*PI())*($K135/1000)/$O$16&lt;2320,(64*500*1000*$M$16*(W$19/($M$16*($K135/2000)^2*PI()))^2)/((W$19*1000^2/($M$16*($K135/2000)^2*PI())*($K135/1000)/$O$16)*1000*$K135*2)*AL135,(0.3164*500*1000*$M$16*(W$19/($M$16*($K135/2000)^2*PI()))^2)/(((W$19*1000^2/($M$16*($K135/2000)^2*PI())*($K135/1000)/$O$16))^0.25*1000*$K135*2)*AL135)</f>
        <v>1114.5363539540324</v>
      </c>
      <c r="X135" s="10">
        <f>IF(X$19*1000^2/($M$16*($K135/2000)^2*PI())*($K135/1000)/$O$16&lt;2320,(64*500*1000*$M$16*(X$19/($M$16*($K135/2000)^2*PI()))^2)/((X$19*1000^2/($M$16*($K135/2000)^2*PI())*($K135/1000)/$O$16)*1000*$K135*2)*AM135,(0.3164*500*1000*$M$16*(X$19/($M$16*($K135/2000)^2*PI()))^2)/(((X$19*1000^2/($M$16*($K135/2000)^2*PI())*($K135/1000)/$O$16))^0.25*1000*$K135*2)*AM135)</f>
        <v>1310.084714411021</v>
      </c>
      <c r="Y135" s="10">
        <f>IF(Y$19*1000^2/($M$16*($K135/2000)^2*PI())*($K135/1000)/$O$16&lt;2320,(64*500*1000*$M$16*(Y$19/($M$16*($K135/2000)^2*PI()))^2)/((Y$19*1000^2/($M$16*($K135/2000)^2*PI())*($K135/1000)/$O$16)*1000*$K135*2)*AN135,(0.3164*500*1000*$M$16*(Y$19/($M$16*($K135/2000)^2*PI()))^2)/(((Y$19*1000^2/($M$16*($K135/2000)^2*PI())*($K135/1000)/$O$16))^0.25*1000*$K135*2)*AN135)</f>
        <v>1519.0227973944825</v>
      </c>
      <c r="AB135">
        <f>IF(AND($J135="Schlauch 8 mm 0,5 Meter",M$19*1000^2/($M$16*($K80/2000)^2*PI())*($K80/1000)/$O$16&gt;1000),2.3,IF(AND($J135="Schlauch 10 mm 0,5 Meter",M$19*1000^2/($M$16*($K80/2000)^2*PI())*($K80/1000)/$O$16&gt;1000),2.3,IF(AND($J135="Schlauch 13 mm 0,5 Meter",M$19*1000^2/($M$16*($K80/2000)^2*PI())*($K80/1000)/$O$16&gt;1000),2.3,1)))</f>
        <v>1</v>
      </c>
      <c r="AC135">
        <f>IF(AND($J135="Schlauch 8 mm 0,5 Meter",N$19*1000^2/($M$16*($K80/2000)^2*PI())*($K80/1000)/$O$16&gt;1000),2.3,IF(AND($J135="Schlauch 10 mm 0,5 Meter",N$19*1000^2/($M$16*($K80/2000)^2*PI())*($K80/1000)/$O$16&gt;1000),2.3,IF(AND($J135="Schlauch 13 mm 0,5 Meter",N$19*1000^2/($M$16*($K80/2000)^2*PI())*($K80/1000)/$O$16&gt;1000),2.3,1)))</f>
        <v>2.2999999999999998</v>
      </c>
      <c r="AD135">
        <f>IF(AND($J135="Schlauch 8 mm 0,5 Meter",O$19*1000^2/($M$16*($K80/2000)^2*PI())*($K80/1000)/$O$16&gt;1000),2.3,IF(AND($J135="Schlauch 10 mm 0,5 Meter",O$19*1000^2/($M$16*($K80/2000)^2*PI())*($K80/1000)/$O$16&gt;1000),2.3,IF(AND($J135="Schlauch 13 mm 0,5 Meter",O$19*1000^2/($M$16*($K80/2000)^2*PI())*($K80/1000)/$O$16&gt;1000),2.3,1)))</f>
        <v>2.2999999999999998</v>
      </c>
      <c r="AE135">
        <f>IF(AND($J135="Schlauch 8 mm 0,5 Meter",P$19*1000^2/($M$16*($K80/2000)^2*PI())*($K80/1000)/$O$16&gt;1000),2.3,IF(AND($J135="Schlauch 10 mm 0,5 Meter",P$19*1000^2/($M$16*($K80/2000)^2*PI())*($K80/1000)/$O$16&gt;1000),2.3,IF(AND($J135="Schlauch 13 mm 0,5 Meter",P$19*1000^2/($M$16*($K80/2000)^2*PI())*($K80/1000)/$O$16&gt;1000),2.3,1)))</f>
        <v>2.2999999999999998</v>
      </c>
      <c r="AF135">
        <f>IF(AND($J135="Schlauch 8 mm 0,5 Meter",Q$19*1000^2/($M$16*($K80/2000)^2*PI())*($K80/1000)/$O$16&gt;1000),2.3,IF(AND($J135="Schlauch 10 mm 0,5 Meter",Q$19*1000^2/($M$16*($K80/2000)^2*PI())*($K80/1000)/$O$16&gt;1000),2.3,IF(AND($J135="Schlauch 13 mm 0,5 Meter",Q$19*1000^2/($M$16*($K80/2000)^2*PI())*($K80/1000)/$O$16&gt;1000),2.3,1)))</f>
        <v>2.2999999999999998</v>
      </c>
      <c r="AG135">
        <f>IF(AND($J135="Schlauch 8 mm 0,5 Meter",R$19*1000^2/($M$16*($K80/2000)^2*PI())*($K80/1000)/$O$16&gt;1000),2.3,IF(AND($J135="Schlauch 10 mm 0,5 Meter",R$19*1000^2/($M$16*($K80/2000)^2*PI())*($K80/1000)/$O$16&gt;1000),2.3,IF(AND($J135="Schlauch 13 mm 0,5 Meter",R$19*1000^2/($M$16*($K80/2000)^2*PI())*($K80/1000)/$O$16&gt;1000),2.3,1)))</f>
        <v>2.2999999999999998</v>
      </c>
      <c r="AH135">
        <f>IF(AND($J135="Schlauch 8 mm 0,5 Meter",S$19*1000^2/($M$16*($K80/2000)^2*PI())*($K80/1000)/$O$16&gt;1000),2.3,IF(AND($J135="Schlauch 10 mm 0,5 Meter",S$19*1000^2/($M$16*($K80/2000)^2*PI())*($K80/1000)/$O$16&gt;1000),2.3,IF(AND($J135="Schlauch 13 mm 0,5 Meter",S$19*1000^2/($M$16*($K80/2000)^2*PI())*($K80/1000)/$O$16&gt;1000),2.3,1)))</f>
        <v>2.2999999999999998</v>
      </c>
      <c r="AI135">
        <f>IF(AND($J135="Schlauch 8 mm 0,5 Meter",T$19*1000^2/($M$16*($K80/2000)^2*PI())*($K80/1000)/$O$16&gt;1000),2.3,IF(AND($J135="Schlauch 10 mm 0,5 Meter",T$19*1000^2/($M$16*($K80/2000)^2*PI())*($K80/1000)/$O$16&gt;1000),2.3,IF(AND($J135="Schlauch 13 mm 0,5 Meter",T$19*1000^2/($M$16*($K80/2000)^2*PI())*($K80/1000)/$O$16&gt;1000),2.3,1)))</f>
        <v>2.2999999999999998</v>
      </c>
      <c r="AJ135">
        <f>IF(AND($J135="Schlauch 8 mm 0,5 Meter",U$19*1000^2/($M$16*($K80/2000)^2*PI())*($K80/1000)/$O$16&gt;1000),2.3,IF(AND($J135="Schlauch 10 mm 0,5 Meter",U$19*1000^2/($M$16*($K80/2000)^2*PI())*($K80/1000)/$O$16&gt;1000),2.3,IF(AND($J135="Schlauch 13 mm 0,5 Meter",U$19*1000^2/($M$16*($K80/2000)^2*PI())*($K80/1000)/$O$16&gt;1000),2.3,1)))</f>
        <v>2.2999999999999998</v>
      </c>
      <c r="AK135">
        <f>IF(AND($J135="Schlauch 8 mm 0,5 Meter",V$19*1000^2/($M$16*($K80/2000)^2*PI())*($K80/1000)/$O$16&gt;1000),2.3,IF(AND($J135="Schlauch 10 mm 0,5 Meter",V$19*1000^2/($M$16*($K80/2000)^2*PI())*($K80/1000)/$O$16&gt;1000),2.3,IF(AND($J135="Schlauch 13 mm 0,5 Meter",V$19*1000^2/($M$16*($K80/2000)^2*PI())*($K80/1000)/$O$16&gt;1000),2.3,1)))</f>
        <v>2.2999999999999998</v>
      </c>
      <c r="AL135">
        <f>IF(AND($J135="Schlauch 8 mm 0,5 Meter",W$19*1000^2/($M$16*($K80/2000)^2*PI())*($K80/1000)/$O$16&gt;1000),2.3,IF(AND($J135="Schlauch 10 mm 0,5 Meter",W$19*1000^2/($M$16*($K80/2000)^2*PI())*($K80/1000)/$O$16&gt;1000),2.3,IF(AND($J135="Schlauch 13 mm 0,5 Meter",W$19*1000^2/($M$16*($K80/2000)^2*PI())*($K80/1000)/$O$16&gt;1000),2.3,1)))</f>
        <v>2.2999999999999998</v>
      </c>
      <c r="AM135">
        <f>IF(AND($J135="Schlauch 8 mm 0,5 Meter",X$19*1000^2/($M$16*($K80/2000)^2*PI())*($K80/1000)/$O$16&gt;1000),2.3,IF(AND($J135="Schlauch 10 mm 0,5 Meter",X$19*1000^2/($M$16*($K80/2000)^2*PI())*($K80/1000)/$O$16&gt;1000),2.3,IF(AND($J135="Schlauch 13 mm 0,5 Meter",X$19*1000^2/($M$16*($K80/2000)^2*PI())*($K80/1000)/$O$16&gt;1000),2.3,1)))</f>
        <v>2.2999999999999998</v>
      </c>
      <c r="AN135">
        <f>IF(AND($J135="Schlauch 8 mm 0,5 Meter",Y$19*1000^2/($M$16*($K80/2000)^2*PI())*($K80/1000)/$O$16&gt;1000),2.3,IF(AND($J135="Schlauch 10 mm 0,5 Meter",Y$19*1000^2/($M$16*($K80/2000)^2*PI())*($K80/1000)/$O$16&gt;1000),2.3,IF(AND($J135="Schlauch 13 mm 0,5 Meter",Y$19*1000^2/($M$16*($K80/2000)^2*PI())*($K80/1000)/$O$16&gt;1000),2.3,1)))</f>
        <v>2.2999999999999998</v>
      </c>
      <c r="AQ135">
        <v>112</v>
      </c>
      <c r="AR135" s="14">
        <v>4.5225271802106448</v>
      </c>
      <c r="AS135" s="13">
        <f t="shared" si="30"/>
        <v>44272.589693024405</v>
      </c>
      <c r="AT135" s="9">
        <v>3.4983311841726223</v>
      </c>
      <c r="AU135" s="13">
        <f t="shared" si="31"/>
        <v>34246.379282119189</v>
      </c>
    </row>
    <row r="136" spans="1:47" x14ac:dyDescent="0.35">
      <c r="A136">
        <f t="shared" si="26"/>
        <v>113</v>
      </c>
      <c r="B136" s="13">
        <f t="shared" si="27"/>
        <v>44238.437856678247</v>
      </c>
      <c r="F136">
        <f t="shared" si="28"/>
        <v>113</v>
      </c>
      <c r="G136" s="13">
        <f t="shared" si="29"/>
        <v>34223.43376401905</v>
      </c>
      <c r="AQ136">
        <v>113</v>
      </c>
      <c r="AR136" s="14">
        <v>4.5190385067627945</v>
      </c>
      <c r="AS136" s="13">
        <f t="shared" si="30"/>
        <v>44238.437856678247</v>
      </c>
      <c r="AT136" s="9">
        <v>3.4959872569257318</v>
      </c>
      <c r="AU136" s="13">
        <f t="shared" si="31"/>
        <v>34223.43376401905</v>
      </c>
    </row>
    <row r="137" spans="1:47" x14ac:dyDescent="0.35">
      <c r="A137">
        <f t="shared" si="26"/>
        <v>114</v>
      </c>
      <c r="B137" s="13">
        <f t="shared" si="27"/>
        <v>44203.924465920427</v>
      </c>
      <c r="F137">
        <f t="shared" si="28"/>
        <v>114</v>
      </c>
      <c r="G137" s="13">
        <f t="shared" si="29"/>
        <v>34200.427247001266</v>
      </c>
      <c r="J137" t="s">
        <v>39</v>
      </c>
      <c r="K137">
        <v>2.5</v>
      </c>
      <c r="L137" t="s">
        <v>67</v>
      </c>
      <c r="AQ137">
        <v>114</v>
      </c>
      <c r="AR137" s="14">
        <v>4.5155128998609673</v>
      </c>
      <c r="AS137" s="13">
        <f t="shared" si="30"/>
        <v>44203.924465920427</v>
      </c>
      <c r="AT137" s="9">
        <v>3.4936370985262268</v>
      </c>
      <c r="AU137" s="13">
        <f t="shared" si="31"/>
        <v>34200.427247001266</v>
      </c>
    </row>
    <row r="138" spans="1:47" x14ac:dyDescent="0.35">
      <c r="A138">
        <f t="shared" si="26"/>
        <v>115</v>
      </c>
      <c r="B138" s="13">
        <f t="shared" si="27"/>
        <v>44169.048914988503</v>
      </c>
      <c r="F138">
        <f t="shared" si="28"/>
        <v>115</v>
      </c>
      <c r="G138" s="13">
        <f t="shared" si="29"/>
        <v>34177.360106123546</v>
      </c>
      <c r="J138" t="s">
        <v>40</v>
      </c>
      <c r="K138">
        <v>0</v>
      </c>
      <c r="L138" t="s">
        <v>67</v>
      </c>
      <c r="AQ138">
        <v>115</v>
      </c>
      <c r="AR138" s="14">
        <v>4.5119502976254067</v>
      </c>
      <c r="AS138" s="13">
        <f t="shared" si="30"/>
        <v>44169.048914988503</v>
      </c>
      <c r="AT138" s="9">
        <v>3.491280747286948</v>
      </c>
      <c r="AU138" s="13">
        <f t="shared" si="31"/>
        <v>34177.360106123546</v>
      </c>
    </row>
    <row r="139" spans="1:47" x14ac:dyDescent="0.35">
      <c r="A139">
        <f t="shared" si="26"/>
        <v>116</v>
      </c>
      <c r="B139" s="13">
        <f t="shared" si="27"/>
        <v>44133.810602409081</v>
      </c>
      <c r="F139">
        <f t="shared" si="28"/>
        <v>116</v>
      </c>
      <c r="G139" s="13">
        <f t="shared" si="29"/>
        <v>34154.232710891782</v>
      </c>
      <c r="J139" t="s">
        <v>41</v>
      </c>
      <c r="K139">
        <v>0</v>
      </c>
      <c r="L139" t="s">
        <v>67</v>
      </c>
      <c r="AQ139">
        <v>116</v>
      </c>
      <c r="AR139" s="14">
        <v>4.5083506386144885</v>
      </c>
      <c r="AS139" s="13">
        <f t="shared" si="30"/>
        <v>44133.810602409081</v>
      </c>
      <c r="AT139" s="9">
        <v>3.4889182409536081</v>
      </c>
      <c r="AU139" s="13">
        <f t="shared" si="31"/>
        <v>34154.232710891782</v>
      </c>
    </row>
    <row r="140" spans="1:47" x14ac:dyDescent="0.35">
      <c r="A140">
        <f t="shared" si="26"/>
        <v>117</v>
      </c>
      <c r="B140" s="13">
        <f t="shared" si="27"/>
        <v>44098.208930930523</v>
      </c>
      <c r="F140">
        <f t="shared" si="28"/>
        <v>117</v>
      </c>
      <c r="G140" s="13">
        <f t="shared" si="29"/>
        <v>34131.0454253895</v>
      </c>
      <c r="J140" t="s">
        <v>42</v>
      </c>
      <c r="K140">
        <v>0</v>
      </c>
      <c r="L140" t="s">
        <v>67</v>
      </c>
      <c r="AQ140">
        <v>117</v>
      </c>
      <c r="AR140" s="14">
        <v>4.5047138618178488</v>
      </c>
      <c r="AS140" s="13">
        <f t="shared" si="30"/>
        <v>44098.208930930523</v>
      </c>
      <c r="AT140" s="9">
        <v>3.4865496167180146</v>
      </c>
      <c r="AU140" s="13">
        <f t="shared" si="31"/>
        <v>34131.0454253895</v>
      </c>
    </row>
    <row r="141" spans="1:47" x14ac:dyDescent="0.35">
      <c r="A141">
        <f t="shared" si="26"/>
        <v>118</v>
      </c>
      <c r="B141" s="13">
        <f t="shared" si="27"/>
        <v>44062.243307457269</v>
      </c>
      <c r="F141">
        <f t="shared" si="28"/>
        <v>118</v>
      </c>
      <c r="G141" s="13">
        <f t="shared" si="29"/>
        <v>34107.7986084031</v>
      </c>
      <c r="J141" t="s">
        <v>43</v>
      </c>
      <c r="K141">
        <v>0</v>
      </c>
      <c r="L141" t="s">
        <v>67</v>
      </c>
      <c r="AQ141">
        <v>118</v>
      </c>
      <c r="AR141" s="14">
        <v>4.5010399066496776</v>
      </c>
      <c r="AS141" s="13">
        <f t="shared" si="30"/>
        <v>44062.243307457269</v>
      </c>
      <c r="AT141" s="9">
        <v>3.4841749112308649</v>
      </c>
      <c r="AU141" s="13">
        <f t="shared" si="31"/>
        <v>34107.7986084031</v>
      </c>
    </row>
    <row r="142" spans="1:47" x14ac:dyDescent="0.35">
      <c r="A142">
        <f t="shared" si="26"/>
        <v>119</v>
      </c>
      <c r="B142" s="13">
        <f t="shared" si="27"/>
        <v>44025.91314298581</v>
      </c>
      <c r="F142">
        <f t="shared" si="28"/>
        <v>119</v>
      </c>
      <c r="G142" s="13">
        <f t="shared" si="29"/>
        <v>34084.492613543291</v>
      </c>
      <c r="J142" t="s">
        <v>44</v>
      </c>
      <c r="K142">
        <v>0</v>
      </c>
      <c r="L142" t="s">
        <v>67</v>
      </c>
      <c r="AQ142">
        <v>119</v>
      </c>
      <c r="AR142" s="14">
        <v>4.4973287129421724</v>
      </c>
      <c r="AS142" s="13">
        <f t="shared" si="30"/>
        <v>44025.91314298581</v>
      </c>
      <c r="AT142" s="9">
        <v>3.4817941606141476</v>
      </c>
      <c r="AU142" s="13">
        <f t="shared" si="31"/>
        <v>34084.492613543291</v>
      </c>
    </row>
    <row r="143" spans="1:47" x14ac:dyDescent="0.35">
      <c r="A143">
        <f t="shared" si="26"/>
        <v>120</v>
      </c>
      <c r="B143" s="13">
        <f t="shared" si="27"/>
        <v>43989.217852542075</v>
      </c>
      <c r="F143">
        <f t="shared" si="28"/>
        <v>120</v>
      </c>
      <c r="G143" s="13">
        <f t="shared" si="29"/>
        <v>34061.127789362596</v>
      </c>
      <c r="J143" t="s">
        <v>45</v>
      </c>
      <c r="K143">
        <v>0</v>
      </c>
      <c r="L143" t="s">
        <v>67</v>
      </c>
      <c r="AQ143">
        <v>120</v>
      </c>
      <c r="AR143" s="14">
        <v>4.4935802209391476</v>
      </c>
      <c r="AS143" s="13">
        <f t="shared" si="30"/>
        <v>43989.217852542075</v>
      </c>
      <c r="AT143" s="9">
        <v>3.4794074004731508</v>
      </c>
      <c r="AU143" s="13">
        <f t="shared" si="31"/>
        <v>34061.127789362596</v>
      </c>
    </row>
    <row r="144" spans="1:47" x14ac:dyDescent="0.35">
      <c r="A144">
        <f t="shared" si="26"/>
        <v>121</v>
      </c>
      <c r="B144" s="13">
        <f t="shared" si="27"/>
        <v>43952.156855120418</v>
      </c>
      <c r="F144">
        <f t="shared" si="28"/>
        <v>121</v>
      </c>
      <c r="G144" s="13">
        <f t="shared" si="29"/>
        <v>34037.704479469394</v>
      </c>
      <c r="J144" t="s">
        <v>46</v>
      </c>
      <c r="K144">
        <v>0</v>
      </c>
      <c r="L144" t="s">
        <v>67</v>
      </c>
      <c r="AQ144">
        <v>121</v>
      </c>
      <c r="AR144" s="14">
        <v>4.4897943712897979</v>
      </c>
      <c r="AS144" s="13">
        <f t="shared" si="30"/>
        <v>43952.156855120418</v>
      </c>
      <c r="AT144" s="9">
        <v>3.4770146659081065</v>
      </c>
      <c r="AU144" s="13">
        <f t="shared" si="31"/>
        <v>34037.704479469394</v>
      </c>
    </row>
    <row r="145" spans="1:47" x14ac:dyDescent="0.35">
      <c r="A145">
        <f t="shared" si="26"/>
        <v>122</v>
      </c>
      <c r="B145" s="13">
        <f t="shared" si="27"/>
        <v>43914.729573623888</v>
      </c>
      <c r="F145">
        <f t="shared" si="28"/>
        <v>122</v>
      </c>
      <c r="G145" s="13">
        <f t="shared" si="29"/>
        <v>34014.223022638304</v>
      </c>
      <c r="J145" t="s">
        <v>47</v>
      </c>
      <c r="K145">
        <v>0</v>
      </c>
      <c r="L145" t="s">
        <v>67</v>
      </c>
      <c r="AQ145">
        <v>122</v>
      </c>
      <c r="AR145" s="14">
        <v>4.4859711050425979</v>
      </c>
      <c r="AS145" s="13">
        <f t="shared" si="30"/>
        <v>43914.729573623888</v>
      </c>
      <c r="AT145" s="9">
        <v>3.474615991525472</v>
      </c>
      <c r="AU145" s="13">
        <f t="shared" si="31"/>
        <v>34014.223022638304</v>
      </c>
    </row>
    <row r="146" spans="1:47" x14ac:dyDescent="0.35">
      <c r="A146">
        <f t="shared" si="26"/>
        <v>123</v>
      </c>
      <c r="B146" s="13">
        <f t="shared" si="27"/>
        <v>43876.935434806001</v>
      </c>
      <c r="F146">
        <f t="shared" si="28"/>
        <v>123</v>
      </c>
      <c r="G146" s="13">
        <f t="shared" si="29"/>
        <v>33990.683752917357</v>
      </c>
      <c r="J146" t="s">
        <v>48</v>
      </c>
      <c r="K146">
        <v>0</v>
      </c>
      <c r="L146" t="s">
        <v>67</v>
      </c>
      <c r="AQ146">
        <v>123</v>
      </c>
      <c r="AR146" s="14">
        <v>4.4821103636393573</v>
      </c>
      <c r="AS146" s="13">
        <f t="shared" si="30"/>
        <v>43876.935434806001</v>
      </c>
      <c r="AT146" s="9">
        <v>3.4722114114488734</v>
      </c>
      <c r="AU146" s="13">
        <f t="shared" si="31"/>
        <v>33990.683752917357</v>
      </c>
    </row>
    <row r="147" spans="1:47" x14ac:dyDescent="0.35">
      <c r="A147">
        <f t="shared" si="26"/>
        <v>124</v>
      </c>
      <c r="B147" s="13">
        <f t="shared" si="27"/>
        <v>43838.773869213779</v>
      </c>
      <c r="F147">
        <f t="shared" si="28"/>
        <v>124</v>
      </c>
      <c r="G147" s="13">
        <f t="shared" si="29"/>
        <v>33967.086999731873</v>
      </c>
      <c r="AQ147">
        <v>124</v>
      </c>
      <c r="AR147" s="14">
        <v>4.4782120889093964</v>
      </c>
      <c r="AS147" s="13">
        <f t="shared" si="30"/>
        <v>43838.773869213779</v>
      </c>
      <c r="AT147" s="9">
        <v>3.4698009593297168</v>
      </c>
      <c r="AU147" s="13">
        <f t="shared" si="31"/>
        <v>33967.086999731873</v>
      </c>
    </row>
    <row r="148" spans="1:47" x14ac:dyDescent="0.35">
      <c r="A148">
        <f t="shared" si="26"/>
        <v>125</v>
      </c>
      <c r="B148" s="13">
        <f t="shared" si="27"/>
        <v>43800.24431113209</v>
      </c>
      <c r="F148">
        <f t="shared" si="28"/>
        <v>125</v>
      </c>
      <c r="G148" s="13">
        <f t="shared" si="29"/>
        <v>33943.433087985213</v>
      </c>
      <c r="AQ148">
        <v>125</v>
      </c>
      <c r="AR148" s="14">
        <v>4.4742762230638666</v>
      </c>
      <c r="AS148" s="13">
        <f t="shared" si="30"/>
        <v>43800.24431113209</v>
      </c>
      <c r="AT148" s="9">
        <v>3.4673846683574849</v>
      </c>
      <c r="AU148" s="13">
        <f t="shared" si="31"/>
        <v>33943.433087985213</v>
      </c>
    </row>
    <row r="149" spans="1:47" x14ac:dyDescent="0.35">
      <c r="A149">
        <f t="shared" si="26"/>
        <v>126</v>
      </c>
      <c r="B149" s="13">
        <f t="shared" si="27"/>
        <v>43761.346198529318</v>
      </c>
      <c r="F149">
        <f t="shared" si="28"/>
        <v>126</v>
      </c>
      <c r="G149" s="13">
        <f t="shared" si="29"/>
        <v>33919.722338156607</v>
      </c>
      <c r="L149" s="12" t="s">
        <v>12</v>
      </c>
      <c r="M149" s="10">
        <f>M126*($K137/0.5)+M127*($K138/0.5)+M128*($K139/0.5)+M129*($K140/0.5)+M130*($K141/0.5)+M131*($K142/0.5)+M132*($K143/0.5)+M133*($K144/0.5)+M134*($K145/0.5)+M135*($K146/0.5)</f>
        <v>0</v>
      </c>
      <c r="N149" s="10">
        <f t="shared" ref="N149:Y149" si="36">N126*($K137/0.5)+N127*($K138/0.5)+N128*($K139/0.5)+N129*($K140/0.5)+N130*($K141/0.5)+N131*($K142/0.5)+N132*($K143/0.5)+N133*($K144/0.5)+N134*($K145/0.5)+N135*($K146/0.5)</f>
        <v>135.72999733626318</v>
      </c>
      <c r="O149" s="10">
        <f t="shared" si="36"/>
        <v>412.19512301857128</v>
      </c>
      <c r="P149" s="10">
        <f t="shared" si="36"/>
        <v>769.45155027342594</v>
      </c>
      <c r="Q149" s="10">
        <f t="shared" si="36"/>
        <v>1217.8173176443022</v>
      </c>
      <c r="R149" s="10">
        <f t="shared" si="36"/>
        <v>1751.4238065584154</v>
      </c>
      <c r="S149" s="10">
        <f t="shared" si="36"/>
        <v>2365.9201369053503</v>
      </c>
      <c r="T149" s="10">
        <f t="shared" si="36"/>
        <v>3057.8837457270315</v>
      </c>
      <c r="U149" s="10">
        <f t="shared" si="36"/>
        <v>3824.5143446055281</v>
      </c>
      <c r="V149" s="10">
        <f t="shared" si="36"/>
        <v>4663.4554665352798</v>
      </c>
      <c r="W149" s="10">
        <f t="shared" si="36"/>
        <v>5572.6817697701617</v>
      </c>
      <c r="X149" s="10">
        <f t="shared" si="36"/>
        <v>6550.4235720551051</v>
      </c>
      <c r="Y149" s="10">
        <f t="shared" si="36"/>
        <v>7595.113986972412</v>
      </c>
      <c r="AQ149">
        <v>126</v>
      </c>
      <c r="AR149" s="14">
        <v>4.4703027086901947</v>
      </c>
      <c r="AS149" s="13">
        <f t="shared" si="30"/>
        <v>43761.346198529318</v>
      </c>
      <c r="AT149" s="9">
        <v>3.4649625712697256</v>
      </c>
      <c r="AU149" s="13">
        <f t="shared" si="31"/>
        <v>33919.722338156607</v>
      </c>
    </row>
    <row r="150" spans="1:47" x14ac:dyDescent="0.35">
      <c r="A150">
        <f t="shared" si="26"/>
        <v>127</v>
      </c>
      <c r="B150" s="13">
        <f t="shared" si="27"/>
        <v>43722.078973004151</v>
      </c>
      <c r="F150">
        <f t="shared" si="28"/>
        <v>127</v>
      </c>
      <c r="G150" s="13">
        <f t="shared" si="29"/>
        <v>33895.955066396054</v>
      </c>
      <c r="AQ150">
        <v>127</v>
      </c>
      <c r="AR150" s="14">
        <v>4.4662914887466503</v>
      </c>
      <c r="AS150" s="13">
        <f t="shared" si="30"/>
        <v>43722.078973004151</v>
      </c>
      <c r="AT150" s="9">
        <v>3.4625347003617475</v>
      </c>
      <c r="AU150" s="13">
        <f t="shared" si="31"/>
        <v>33895.955066396054</v>
      </c>
    </row>
    <row r="151" spans="1:47" x14ac:dyDescent="0.35">
      <c r="A151">
        <f t="shared" si="26"/>
        <v>128</v>
      </c>
      <c r="B151" s="13">
        <f t="shared" si="27"/>
        <v>43682.442079733599</v>
      </c>
      <c r="F151">
        <f t="shared" si="28"/>
        <v>128</v>
      </c>
      <c r="G151" s="13">
        <f t="shared" si="29"/>
        <v>33872.131584616502</v>
      </c>
      <c r="I151" s="1" t="s">
        <v>38</v>
      </c>
      <c r="J151" s="2" t="s">
        <v>68</v>
      </c>
      <c r="AQ151">
        <v>128</v>
      </c>
      <c r="AR151" s="14">
        <v>4.4622425065570352</v>
      </c>
      <c r="AS151" s="13">
        <f t="shared" si="30"/>
        <v>43682.442079733599</v>
      </c>
      <c r="AT151" s="9">
        <v>3.4601010874960365</v>
      </c>
      <c r="AU151" s="13">
        <f t="shared" si="31"/>
        <v>33872.131584616502</v>
      </c>
    </row>
    <row r="152" spans="1:47" x14ac:dyDescent="0.35">
      <c r="A152">
        <f t="shared" ref="A152:A215" si="37">AQ152*B$16*B$17</f>
        <v>129</v>
      </c>
      <c r="B152" s="13">
        <f t="shared" ref="B152:B215" si="38">IF(B$14="DDC-1T+",AS152*B$15*B$17^2,AU152*B$15*B$17^2)</f>
        <v>43642.434967422159</v>
      </c>
      <c r="F152">
        <f t="shared" ref="F152:F215" si="39">AQ152*G$16*G$17</f>
        <v>129</v>
      </c>
      <c r="G152" s="13">
        <f t="shared" ref="G152:G215" si="40">IF(G$14="DDC-1T+",AS152*G$15*G$17^2,AU152*G$15*G$17^2)</f>
        <v>33848.252200583287</v>
      </c>
      <c r="AQ152">
        <v>129</v>
      </c>
      <c r="AR152" s="14">
        <v>4.458155705805491</v>
      </c>
      <c r="AS152" s="13">
        <f t="shared" ref="AS152:AS215" si="41">AR152*998.2*9.807</f>
        <v>43642.434967422159</v>
      </c>
      <c r="AT152" s="9">
        <v>3.4576617641113936</v>
      </c>
      <c r="AU152" s="13">
        <f t="shared" ref="AU152:AU215" si="42">AT152*998.2*9.807</f>
        <v>33848.252200583287</v>
      </c>
    </row>
    <row r="153" spans="1:47" x14ac:dyDescent="0.35">
      <c r="A153">
        <f t="shared" si="37"/>
        <v>130</v>
      </c>
      <c r="B153" s="13">
        <f t="shared" si="38"/>
        <v>43602.057088252091</v>
      </c>
      <c r="F153">
        <f t="shared" si="39"/>
        <v>130</v>
      </c>
      <c r="G153" s="13">
        <f t="shared" si="40"/>
        <v>33824.317218001095</v>
      </c>
      <c r="I153" s="1">
        <v>1</v>
      </c>
      <c r="J153" t="s">
        <v>69</v>
      </c>
      <c r="K153">
        <f>K126</f>
        <v>10</v>
      </c>
      <c r="L153" t="s">
        <v>70</v>
      </c>
      <c r="AQ153">
        <v>130</v>
      </c>
      <c r="AR153" s="14">
        <v>4.4540310305314215</v>
      </c>
      <c r="AS153" s="13">
        <f t="shared" si="41"/>
        <v>43602.057088252091</v>
      </c>
      <c r="AT153" s="9">
        <v>3.4552167612318154</v>
      </c>
      <c r="AU153" s="13">
        <f t="shared" si="42"/>
        <v>33824.317218001095</v>
      </c>
    </row>
    <row r="154" spans="1:47" x14ac:dyDescent="0.35">
      <c r="A154">
        <f t="shared" si="37"/>
        <v>131</v>
      </c>
      <c r="B154" s="13">
        <f t="shared" si="38"/>
        <v>43561.307897834813</v>
      </c>
      <c r="F154">
        <f t="shared" si="39"/>
        <v>131</v>
      </c>
      <c r="G154" s="13">
        <f t="shared" si="40"/>
        <v>33800.326936598372</v>
      </c>
      <c r="I154" s="1"/>
      <c r="J154" t="s">
        <v>71</v>
      </c>
      <c r="K154">
        <v>65</v>
      </c>
      <c r="L154" t="s">
        <v>70</v>
      </c>
      <c r="AQ154">
        <v>131</v>
      </c>
      <c r="AR154" s="14">
        <v>4.4498684251245191</v>
      </c>
      <c r="AS154" s="13">
        <f t="shared" si="41"/>
        <v>43561.307897834813</v>
      </c>
      <c r="AT154" s="9">
        <v>3.4527661094751187</v>
      </c>
      <c r="AU154" s="13">
        <f t="shared" si="42"/>
        <v>33800.326936598372</v>
      </c>
    </row>
    <row r="155" spans="1:47" x14ac:dyDescent="0.35">
      <c r="A155">
        <f t="shared" si="37"/>
        <v>132</v>
      </c>
      <c r="B155" s="13">
        <f t="shared" si="38"/>
        <v>43520.186855163207</v>
      </c>
      <c r="F155">
        <f t="shared" si="39"/>
        <v>132</v>
      </c>
      <c r="G155" s="13">
        <f t="shared" si="40"/>
        <v>33776.281652209364</v>
      </c>
      <c r="I155" s="1"/>
      <c r="J155" t="s">
        <v>72</v>
      </c>
      <c r="K155">
        <v>90</v>
      </c>
      <c r="L155" t="s">
        <v>73</v>
      </c>
      <c r="AQ155">
        <v>132</v>
      </c>
      <c r="AR155" s="14">
        <v>4.4456678343199059</v>
      </c>
      <c r="AS155" s="13">
        <f t="shared" si="41"/>
        <v>43520.186855163207</v>
      </c>
      <c r="AT155" s="9">
        <v>3.4503098390613212</v>
      </c>
      <c r="AU155" s="13">
        <f t="shared" si="42"/>
        <v>33776.281652209364</v>
      </c>
    </row>
    <row r="156" spans="1:47" x14ac:dyDescent="0.35">
      <c r="A156">
        <f t="shared" si="37"/>
        <v>133</v>
      </c>
      <c r="B156" s="13">
        <f t="shared" si="38"/>
        <v>43478.693422565135</v>
      </c>
      <c r="F156">
        <f t="shared" si="39"/>
        <v>133</v>
      </c>
      <c r="G156" s="13">
        <f t="shared" si="40"/>
        <v>33752.181656853914</v>
      </c>
      <c r="I156" s="1"/>
      <c r="J156" t="s">
        <v>76</v>
      </c>
      <c r="L156" s="4" t="s">
        <v>12</v>
      </c>
      <c r="M156" s="1">
        <v>0</v>
      </c>
      <c r="N156" s="10">
        <f>IF(N$19*1000^2/($M$16*($K153/2000)^2*PI())*($K153/1000)/$O$16&lt;2320,(64*PI()*$K154*($K155/180)*1000*$M$16*(N$19/($M$16*($K153/2000)^2*PI()))^2)/((N$19*1000^2/($M$16*($K153/2000)^2*PI())*($K153/1000)/$O$16)*1000*$K153*2)*AC156*AC157,(0.3164*PI()*$K154*($K155/180)*1000*$M$16*(N$19/($M$16*($K153/2000)^2*PI()))^2)/(((N$19*1000^2/($M$16*($K153/2000)^2*PI())*($K153/1000)/$O$16))^0.25*1000*$K153*2)*AC156*AC157)</f>
        <v>9.684693424704486</v>
      </c>
      <c r="O156" s="10">
        <f>IF(O$19*1000^2/($M$16*($K153/2000)^2*PI())*($K153/1000)/$O$16&lt;2320,(64*PI()*$K154*($K155/180)*1000*$M$16*(O$19/($M$16*($K153/2000)^2*PI()))^2)/((O$19*1000^2/($M$16*($K153/2000)^2*PI())*($K153/1000)/$O$16)*1000*$K153*2)*AD156*AD157,(0.3164*PI()*$K154*($K155/180)*1000*$M$16*(O$19/($M$16*($K153/2000)^2*PI()))^2)/(((O$19*1000^2/($M$16*($K153/2000)^2*PI())*($K153/1000)/$O$16))^0.25*1000*$K153*2)*AD156*AD157)</f>
        <v>29.411209577373732</v>
      </c>
      <c r="P156" s="10">
        <f>IF(P$19*1000^2/($M$16*($K153/2000)^2*PI())*($K153/1000)/$O$16&lt;2320,(64*PI()*$K154*($K155/180)*1000*$M$16*(P$19/($M$16*($K153/2000)^2*PI()))^2)/((P$19*1000^2/($M$16*($K153/2000)^2*PI())*($K153/1000)/$O$16)*1000*$K153*2)*AE156*AE157,(0.3164*PI()*$K154*($K155/180)*1000*$M$16*(P$19/($M$16*($K153/2000)^2*PI()))^2)/(((P$19*1000^2/($M$16*($K153/2000)^2*PI())*($K153/1000)/$O$16))^0.25*1000*$K153*2)*AE156*AE157)</f>
        <v>54.902398259833951</v>
      </c>
      <c r="Q156" s="10">
        <f>IF(Q$19*1000^2/($M$16*($K153/2000)^2*PI())*($K153/1000)/$O$16&lt;2320,(64*PI()*$K154*($K155/180)*1000*$M$16*(Q$19/($M$16*($K153/2000)^2*PI()))^2)/((Q$19*1000^2/($M$16*($K153/2000)^2*PI())*($K153/1000)/$O$16)*1000*$K153*2)*AF156*AF157,(0.3164*PI()*$K154*($K155/180)*1000*$M$16*(Q$19/($M$16*($K153/2000)^2*PI()))^2)/(((Q$19*1000^2/($M$16*($K153/2000)^2*PI())*($K153/1000)/$O$16))^0.25*1000*$K153*2)*AF156*AF157)</f>
        <v>86.894478745635112</v>
      </c>
      <c r="R156" s="10">
        <f>IF(R$19*1000^2/($M$16*($K153/2000)^2*PI())*($K153/1000)/$O$16&lt;2320,(64*PI()*$K154*($K155/180)*1000*$M$16*(R$19/($M$16*($K153/2000)^2*PI()))^2)/((R$19*1000^2/($M$16*($K153/2000)^2*PI())*($K153/1000)/$O$16)*1000*$K153*2)*AG156*AG157,(0.3164*PI()*$K154*($K155/180)*1000*$M$16*(R$19/($M$16*($K153/2000)^2*PI()))^2)/(((R$19*1000^2/($M$16*($K153/2000)^2*PI())*($K153/1000)/$O$16))^0.25*1000*$K153*2)*AG156*AG157)</f>
        <v>124.96870961564098</v>
      </c>
      <c r="S156" s="10">
        <f>IF(S$19*1000^2/($M$16*($K153/2000)^2*PI())*($K153/1000)/$O$16&lt;2320,(64*PI()*$K154*($K155/180)*1000*$M$16*(S$19/($M$16*($K153/2000)^2*PI()))^2)/((S$19*1000^2/($M$16*($K153/2000)^2*PI())*($K153/1000)/$O$16)*1000*$K153*2)*AH156*AH157,(0.3164*PI()*$K154*($K155/180)*1000*$M$16*(S$19/($M$16*($K153/2000)^2*PI()))^2)/(((S$19*1000^2/($M$16*($K153/2000)^2*PI())*($K153/1000)/$O$16))^0.25*1000*$K153*2)*AH156*AH157)</f>
        <v>168.81464409445934</v>
      </c>
      <c r="T156" s="10">
        <f>IF(T$19*1000^2/($M$16*($K153/2000)^2*PI())*($K153/1000)/$O$16&lt;2320,(64*PI()*$K154*($K155/180)*1000*$M$16*(T$19/($M$16*($K153/2000)^2*PI()))^2)/((T$19*1000^2/($M$16*($K153/2000)^2*PI())*($K153/1000)/$O$16)*1000*$K153*2)*AI156*AI157,(0.3164*PI()*$K154*($K155/180)*1000*$M$16*(T$19/($M$16*($K153/2000)^2*PI()))^2)/(((T$19*1000^2/($M$16*($K153/2000)^2*PI())*($K153/1000)/$O$16))^0.25*1000*$K153*2)*AI156*AI157)</f>
        <v>218.1880732848222</v>
      </c>
      <c r="U156" s="10">
        <f>IF(U$19*1000^2/($M$16*($K153/2000)^2*PI())*($K153/1000)/$O$16&lt;2320,(64*PI()*$K154*($K155/180)*1000*$M$16*(U$19/($M$16*($K153/2000)^2*PI()))^2)/((U$19*1000^2/($M$16*($K153/2000)^2*PI())*($K153/1000)/$O$16)*1000*$K153*2)*AJ156*AJ157,(0.3164*PI()*$K154*($K155/180)*1000*$M$16*(U$19/($M$16*($K153/2000)^2*PI()))^2)/(((U$19*1000^2/($M$16*($K153/2000)^2*PI())*($K153/1000)/$O$16))^0.25*1000*$K153*2)*AJ156*AJ157)</f>
        <v>272.88918921973129</v>
      </c>
      <c r="V156" s="10">
        <f>IF(V$19*1000^2/($M$16*($K153/2000)^2*PI())*($K153/1000)/$O$16&lt;2320,(64*PI()*$K154*($K155/180)*1000*$M$16*(V$19/($M$16*($K153/2000)^2*PI()))^2)/((V$19*1000^2/($M$16*($K153/2000)^2*PI())*($K153/1000)/$O$16)*1000*$K153*2)*AK156*AK157,(0.3164*PI()*$K154*($K155/180)*1000*$M$16*(V$19/($M$16*($K153/2000)^2*PI()))^2)/(((V$19*1000^2/($M$16*($K153/2000)^2*PI())*($K153/1000)/$O$16))^0.25*1000*$K153*2)*AK156*AK157)</f>
        <v>332.74985176095521</v>
      </c>
      <c r="W156" s="10">
        <f>IF(W$19*1000^2/($M$16*($K153/2000)^2*PI())*($K153/1000)/$O$16&lt;2320,(64*PI()*$K154*($K155/180)*1000*$M$16*(W$19/($M$16*($K153/2000)^2*PI()))^2)/((W$19*1000^2/($M$16*($K153/2000)^2*PI())*($K153/1000)/$O$16)*1000*$K153*2)*AL156*AL157,(0.3164*PI()*$K154*($K155/180)*1000*$M$16*(W$19/($M$16*($K153/2000)^2*PI()))^2)/(((W$19*1000^2/($M$16*($K153/2000)^2*PI())*($K153/1000)/$O$16))^0.25*1000*$K153*2)*AL156*AL157)</f>
        <v>397.62554743117568</v>
      </c>
      <c r="X156" s="10">
        <f>IF(X$19*1000^2/($M$16*($K153/2000)^2*PI())*($K153/1000)/$O$16&lt;2320,(64*PI()*$K154*($K155/180)*1000*$M$16*(X$19/($M$16*($K153/2000)^2*PI()))^2)/((X$19*1000^2/($M$16*($K153/2000)^2*PI())*($K153/1000)/$O$16)*1000*$K153*2)*AM156*AM157,(0.3164*PI()*$K154*($K155/180)*1000*$M$16*(X$19/($M$16*($K153/2000)^2*PI()))^2)/(((X$19*1000^2/($M$16*($K153/2000)^2*PI())*($K153/1000)/$O$16))^0.25*1000*$K153*2)*AM156*AM157)</f>
        <v>467.3900047323018</v>
      </c>
      <c r="Y156" s="10">
        <f>IF(Y$19*1000^2/($M$16*($K153/2000)^2*PI())*($K153/1000)/$O$16&lt;2320,(64*PI()*$K154*($K155/180)*1000*$M$16*(Y$19/($M$16*($K153/2000)^2*PI()))^2)/((Y$19*1000^2/($M$16*($K153/2000)^2*PI())*($K153/1000)/$O$16)*1000*$K153*2)*AN156*AN157,(0.3164*PI()*$K154*($K155/180)*1000*$M$16*(Y$19/($M$16*($K153/2000)^2*PI()))^2)/(((Y$19*1000^2/($M$16*($K153/2000)^2*PI())*($K153/1000)/$O$16))^0.25*1000*$K153*2)*AN156*AN157)</f>
        <v>541.93142218430319</v>
      </c>
      <c r="AB156">
        <f>IF($K155=90,48.8278467851456 - 47.806959580207*EXP(-0.277239618115161*($K154/$K153)^-1.54747755889509),IF($K155=75,50.1417823050971 - 49.1135860314465*EXP(-0.301530732764457*($K154/$K153)^-1.54561444953472),IF($K155=60,54.7760811257494 - 53.7540574575869*EXP(-0.304630071575136*($K154/$K153)^-1.55407754771893),IF($K155=45,43.1114956669904 - 42.081470426847*EXP(-0.421774530709856*($K154/$K153)^-1.56548181659313),IF($K155=30,83.6300898181698 - 82.5595081919206*EXP(-0.232275883030308*($K154/$K153)^-1.58789653739729),IF($K155=15,107.103583610419 - 106.022180533241*EXP(-0.173822505110446*($K154/$K153)^-1.54794763569524),))))))</f>
        <v>1.7470961707020436</v>
      </c>
      <c r="AC156">
        <f>IF($K155=90,48.8278467851456 - 47.806959580207*EXP(-0.277239618115161*($K154/$K153)^-1.54747755889509),IF($K155=75,50.1417823050971 - 49.1135860314465*EXP(-0.301530732764457*($K154/$K153)^-1.54561444953472),IF($K155=60,54.7760811257494 - 53.7540574575869*EXP(-0.304630071575136*($K154/$K153)^-1.55407754771893),IF($K155=45,43.1114956669904 - 42.081470426847*EXP(-0.421774530709856*($K154/$K153)^-1.56548181659313),IF($K155=30,83.6300898181698 - 82.5595081919206*EXP(-0.232275883030308*($K154/$K153)^-1.58789653739729),IF($K155=15,107.103583610419 - 106.022180533241*EXP(-0.173822505110446*($K154/$K153)^-1.54794763569524),))))))</f>
        <v>1.7470961707020436</v>
      </c>
      <c r="AD156">
        <f>IF($K155=90,48.8278467851456 - 47.806959580207*EXP(-0.277239618115161*($K154/$K153)^-1.54747755889509),IF($K155=75,50.1417823050971 - 49.1135860314465*EXP(-0.301530732764457*($K154/$K153)^-1.54561444953472),IF($K155=60,54.7760811257494 - 53.7540574575869*EXP(-0.304630071575136*($K154/$K153)^-1.55407754771893),IF($K155=45,43.1114956669904 - 42.081470426847*EXP(-0.421774530709856*($K154/$K153)^-1.56548181659313),IF($K155=30,83.6300898181698 - 82.5595081919206*EXP(-0.232275883030308*($K154/$K153)^-1.58789653739729),IF($K155=15,107.103583610419 - 106.022180533241*EXP(-0.173822505110446*($K154/$K153)^-1.54794763569524),))))))</f>
        <v>1.7470961707020436</v>
      </c>
      <c r="AE156">
        <f>IF($K155=90,48.8278467851456 - 47.806959580207*EXP(-0.277239618115161*($K154/$K153)^-1.54747755889509),IF($K155=75,50.1417823050971 - 49.1135860314465*EXP(-0.301530732764457*($K154/$K153)^-1.54561444953472),IF($K155=60,54.7760811257494 - 53.7540574575869*EXP(-0.304630071575136*($K154/$K153)^-1.55407754771893),IF($K155=45,43.1114956669904 - 42.081470426847*EXP(-0.421774530709856*($K154/$K153)^-1.56548181659313),IF($K155=30,83.6300898181698 - 82.5595081919206*EXP(-0.232275883030308*($K154/$K153)^-1.58789653739729),IF($K155=15,107.103583610419 - 106.022180533241*EXP(-0.173822505110446*($K154/$K153)^-1.54794763569524),))))))</f>
        <v>1.7470961707020436</v>
      </c>
      <c r="AF156">
        <f>IF($K155=90,48.8278467851456 - 47.806959580207*EXP(-0.277239618115161*($K154/$K153)^-1.54747755889509),IF($K155=75,50.1417823050971 - 49.1135860314465*EXP(-0.301530732764457*($K154/$K153)^-1.54561444953472),IF($K155=60,54.7760811257494 - 53.7540574575869*EXP(-0.304630071575136*($K154/$K153)^-1.55407754771893),IF($K155=45,43.1114956669904 - 42.081470426847*EXP(-0.421774530709856*($K154/$K153)^-1.56548181659313),IF($K155=30,83.6300898181698 - 82.5595081919206*EXP(-0.232275883030308*($K154/$K153)^-1.58789653739729),IF($K155=15,107.103583610419 - 106.022180533241*EXP(-0.173822505110446*($K154/$K153)^-1.54794763569524),))))))</f>
        <v>1.7470961707020436</v>
      </c>
      <c r="AG156">
        <f>IF($K155=90,48.8278467851456 - 47.806959580207*EXP(-0.277239618115161*($K154/$K153)^-1.54747755889509),IF($K155=75,50.1417823050971 - 49.1135860314465*EXP(-0.301530732764457*($K154/$K153)^-1.54561444953472),IF($K155=60,54.7760811257494 - 53.7540574575869*EXP(-0.304630071575136*($K154/$K153)^-1.55407754771893),IF($K155=45,43.1114956669904 - 42.081470426847*EXP(-0.421774530709856*($K154/$K153)^-1.56548181659313),IF($K155=30,83.6300898181698 - 82.5595081919206*EXP(-0.232275883030308*($K154/$K153)^-1.58789653739729),IF($K155=15,107.103583610419 - 106.022180533241*EXP(-0.173822505110446*($K154/$K153)^-1.54794763569524),))))))</f>
        <v>1.7470961707020436</v>
      </c>
      <c r="AH156">
        <f>IF($K155=90,48.8278467851456 - 47.806959580207*EXP(-0.277239618115161*($K154/$K153)^-1.54747755889509),IF($K155=75,50.1417823050971 - 49.1135860314465*EXP(-0.301530732764457*($K154/$K153)^-1.54561444953472),IF($K155=60,54.7760811257494 - 53.7540574575869*EXP(-0.304630071575136*($K154/$K153)^-1.55407754771893),IF($K155=45,43.1114956669904 - 42.081470426847*EXP(-0.421774530709856*($K154/$K153)^-1.56548181659313),IF($K155=30,83.6300898181698 - 82.5595081919206*EXP(-0.232275883030308*($K154/$K153)^-1.58789653739729),IF($K155=15,107.103583610419 - 106.022180533241*EXP(-0.173822505110446*($K154/$K153)^-1.54794763569524),))))))</f>
        <v>1.7470961707020436</v>
      </c>
      <c r="AI156">
        <f>IF($K155=90,48.8278467851456 - 47.806959580207*EXP(-0.277239618115161*($K154/$K153)^-1.54747755889509),IF($K155=75,50.1417823050971 - 49.1135860314465*EXP(-0.301530732764457*($K154/$K153)^-1.54561444953472),IF($K155=60,54.7760811257494 - 53.7540574575869*EXP(-0.304630071575136*($K154/$K153)^-1.55407754771893),IF($K155=45,43.1114956669904 - 42.081470426847*EXP(-0.421774530709856*($K154/$K153)^-1.56548181659313),IF($K155=30,83.6300898181698 - 82.5595081919206*EXP(-0.232275883030308*($K154/$K153)^-1.58789653739729),IF($K155=15,107.103583610419 - 106.022180533241*EXP(-0.173822505110446*($K154/$K153)^-1.54794763569524),))))))</f>
        <v>1.7470961707020436</v>
      </c>
      <c r="AJ156">
        <f>IF($K155=90,48.8278467851456 - 47.806959580207*EXP(-0.277239618115161*($K154/$K153)^-1.54747755889509),IF($K155=75,50.1417823050971 - 49.1135860314465*EXP(-0.301530732764457*($K154/$K153)^-1.54561444953472),IF($K155=60,54.7760811257494 - 53.7540574575869*EXP(-0.304630071575136*($K154/$K153)^-1.55407754771893),IF($K155=45,43.1114956669904 - 42.081470426847*EXP(-0.421774530709856*($K154/$K153)^-1.56548181659313),IF($K155=30,83.6300898181698 - 82.5595081919206*EXP(-0.232275883030308*($K154/$K153)^-1.58789653739729),IF($K155=15,107.103583610419 - 106.022180533241*EXP(-0.173822505110446*($K154/$K153)^-1.54794763569524),))))))</f>
        <v>1.7470961707020436</v>
      </c>
      <c r="AK156">
        <f>IF($K155=90,48.8278467851456 - 47.806959580207*EXP(-0.277239618115161*($K154/$K153)^-1.54747755889509),IF($K155=75,50.1417823050971 - 49.1135860314465*EXP(-0.301530732764457*($K154/$K153)^-1.54561444953472),IF($K155=60,54.7760811257494 - 53.7540574575869*EXP(-0.304630071575136*($K154/$K153)^-1.55407754771893),IF($K155=45,43.1114956669904 - 42.081470426847*EXP(-0.421774530709856*($K154/$K153)^-1.56548181659313),IF($K155=30,83.6300898181698 - 82.5595081919206*EXP(-0.232275883030308*($K154/$K153)^-1.58789653739729),IF($K155=15,107.103583610419 - 106.022180533241*EXP(-0.173822505110446*($K154/$K153)^-1.54794763569524),))))))</f>
        <v>1.7470961707020436</v>
      </c>
      <c r="AL156">
        <f>IF($K155=90,48.8278467851456 - 47.806959580207*EXP(-0.277239618115161*($K154/$K153)^-1.54747755889509),IF($K155=75,50.1417823050971 - 49.1135860314465*EXP(-0.301530732764457*($K154/$K153)^-1.54561444953472),IF($K155=60,54.7760811257494 - 53.7540574575869*EXP(-0.304630071575136*($K154/$K153)^-1.55407754771893),IF($K155=45,43.1114956669904 - 42.081470426847*EXP(-0.421774530709856*($K154/$K153)^-1.56548181659313),IF($K155=30,83.6300898181698 - 82.5595081919206*EXP(-0.232275883030308*($K154/$K153)^-1.58789653739729),IF($K155=15,107.103583610419 - 106.022180533241*EXP(-0.173822505110446*($K154/$K153)^-1.54794763569524),))))))</f>
        <v>1.7470961707020436</v>
      </c>
      <c r="AM156">
        <f>IF($K155=90,48.8278467851456 - 47.806959580207*EXP(-0.277239618115161*($K154/$K153)^-1.54747755889509),IF($K155=75,50.1417823050971 - 49.1135860314465*EXP(-0.301530732764457*($K154/$K153)^-1.54561444953472),IF($K155=60,54.7760811257494 - 53.7540574575869*EXP(-0.304630071575136*($K154/$K153)^-1.55407754771893),IF($K155=45,43.1114956669904 - 42.081470426847*EXP(-0.421774530709856*($K154/$K153)^-1.56548181659313),IF($K155=30,83.6300898181698 - 82.5595081919206*EXP(-0.232275883030308*($K154/$K153)^-1.58789653739729),IF($K155=15,107.103583610419 - 106.022180533241*EXP(-0.173822505110446*($K154/$K153)^-1.54794763569524),))))))</f>
        <v>1.7470961707020436</v>
      </c>
      <c r="AN156">
        <f>IF($K155=90,48.8278467851456 - 47.806959580207*EXP(-0.277239618115161*($K154/$K153)^-1.54747755889509),IF($K155=75,50.1417823050971 - 49.1135860314465*EXP(-0.301530732764457*($K154/$K153)^-1.54561444953472),IF($K155=60,54.7760811257494 - 53.7540574575869*EXP(-0.304630071575136*($K154/$K153)^-1.55407754771893),IF($K155=45,43.1114956669904 - 42.081470426847*EXP(-0.421774530709856*($K154/$K153)^-1.56548181659313),IF($K155=30,83.6300898181698 - 82.5595081919206*EXP(-0.232275883030308*($K154/$K153)^-1.58789653739729),IF($K155=15,107.103583610419 - 106.022180533241*EXP(-0.173822505110446*($K154/$K153)^-1.54794763569524),))))))</f>
        <v>1.7470961707020436</v>
      </c>
      <c r="AQ156">
        <v>133</v>
      </c>
      <c r="AR156" s="14">
        <v>4.4414292031933744</v>
      </c>
      <c r="AS156" s="13">
        <f t="shared" si="41"/>
        <v>43478.693422565135</v>
      </c>
      <c r="AT156" s="9">
        <v>3.4478479798207911</v>
      </c>
      <c r="AU156" s="13">
        <f t="shared" si="42"/>
        <v>33752.181656853914</v>
      </c>
    </row>
    <row r="157" spans="1:47" x14ac:dyDescent="0.35">
      <c r="A157">
        <f t="shared" si="37"/>
        <v>134</v>
      </c>
      <c r="B157" s="13">
        <f t="shared" si="38"/>
        <v>43436.827065657795</v>
      </c>
      <c r="F157">
        <f t="shared" si="39"/>
        <v>134</v>
      </c>
      <c r="G157" s="13">
        <f t="shared" si="40"/>
        <v>33728.027238814931</v>
      </c>
      <c r="I157" s="1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AB157">
        <f>IF(AND($J126="Schlauch 8 mm 0,5 Meter",M$19*1000^2/($M$16*($K71/2000)^2*PI())*($K71/1000)/$O$16&gt;1000),2.3,IF(AND($J126="Schlauch 10 mm 0,5 Meter",M$19*1000^2/($M$16*($K71/2000)^2*PI())*($K71/1000)/$O$16&gt;1000),2.3,IF(AND($J126="Schlauch 13 mm 0,5 Meter",M$19*1000^2/($M$16*($K71/2000)^2*PI())*($K71/1000)/$O$16&gt;1000),2.3,1)))</f>
        <v>1</v>
      </c>
      <c r="AC157">
        <f>IF(AND($J126="Schlauch 8 mm 0,5 Meter",N$19*1000^2/($M$16*($K71/2000)^2*PI())*($K71/1000)/$O$16&gt;1000),2.3,IF(AND($J126="Schlauch 10 mm 0,5 Meter",N$19*1000^2/($M$16*($K71/2000)^2*PI())*($K71/1000)/$O$16&gt;1000),2.3,IF(AND($J126="Schlauch 13 mm 0,5 Meter",N$19*1000^2/($M$16*($K71/2000)^2*PI())*($K71/1000)/$O$16&gt;1000),2.3,1)))</f>
        <v>2.2999999999999998</v>
      </c>
      <c r="AD157">
        <f>IF(AND($J126="Schlauch 8 mm 0,5 Meter",O$19*1000^2/($M$16*($K71/2000)^2*PI())*($K71/1000)/$O$16&gt;1000),2.3,IF(AND($J126="Schlauch 10 mm 0,5 Meter",O$19*1000^2/($M$16*($K71/2000)^2*PI())*($K71/1000)/$O$16&gt;1000),2.3,IF(AND($J126="Schlauch 13 mm 0,5 Meter",O$19*1000^2/($M$16*($K71/2000)^2*PI())*($K71/1000)/$O$16&gt;1000),2.3,1)))</f>
        <v>2.2999999999999998</v>
      </c>
      <c r="AE157">
        <f>IF(AND($J126="Schlauch 8 mm 0,5 Meter",P$19*1000^2/($M$16*($K71/2000)^2*PI())*($K71/1000)/$O$16&gt;1000),2.3,IF(AND($J126="Schlauch 10 mm 0,5 Meter",P$19*1000^2/($M$16*($K71/2000)^2*PI())*($K71/1000)/$O$16&gt;1000),2.3,IF(AND($J126="Schlauch 13 mm 0,5 Meter",P$19*1000^2/($M$16*($K71/2000)^2*PI())*($K71/1000)/$O$16&gt;1000),2.3,1)))</f>
        <v>2.2999999999999998</v>
      </c>
      <c r="AF157">
        <f>IF(AND($J126="Schlauch 8 mm 0,5 Meter",Q$19*1000^2/($M$16*($K71/2000)^2*PI())*($K71/1000)/$O$16&gt;1000),2.3,IF(AND($J126="Schlauch 10 mm 0,5 Meter",Q$19*1000^2/($M$16*($K71/2000)^2*PI())*($K71/1000)/$O$16&gt;1000),2.3,IF(AND($J126="Schlauch 13 mm 0,5 Meter",Q$19*1000^2/($M$16*($K71/2000)^2*PI())*($K71/1000)/$O$16&gt;1000),2.3,1)))</f>
        <v>2.2999999999999998</v>
      </c>
      <c r="AG157">
        <f>IF(AND($J126="Schlauch 8 mm 0,5 Meter",R$19*1000^2/($M$16*($K71/2000)^2*PI())*($K71/1000)/$O$16&gt;1000),2.3,IF(AND($J126="Schlauch 10 mm 0,5 Meter",R$19*1000^2/($M$16*($K71/2000)^2*PI())*($K71/1000)/$O$16&gt;1000),2.3,IF(AND($J126="Schlauch 13 mm 0,5 Meter",R$19*1000^2/($M$16*($K71/2000)^2*PI())*($K71/1000)/$O$16&gt;1000),2.3,1)))</f>
        <v>2.2999999999999998</v>
      </c>
      <c r="AH157">
        <f>IF(AND($J126="Schlauch 8 mm 0,5 Meter",S$19*1000^2/($M$16*($K71/2000)^2*PI())*($K71/1000)/$O$16&gt;1000),2.3,IF(AND($J126="Schlauch 10 mm 0,5 Meter",S$19*1000^2/($M$16*($K71/2000)^2*PI())*($K71/1000)/$O$16&gt;1000),2.3,IF(AND($J126="Schlauch 13 mm 0,5 Meter",S$19*1000^2/($M$16*($K71/2000)^2*PI())*($K71/1000)/$O$16&gt;1000),2.3,1)))</f>
        <v>2.2999999999999998</v>
      </c>
      <c r="AI157">
        <f>IF(AND($J126="Schlauch 8 mm 0,5 Meter",T$19*1000^2/($M$16*($K71/2000)^2*PI())*($K71/1000)/$O$16&gt;1000),2.3,IF(AND($J126="Schlauch 10 mm 0,5 Meter",T$19*1000^2/($M$16*($K71/2000)^2*PI())*($K71/1000)/$O$16&gt;1000),2.3,IF(AND($J126="Schlauch 13 mm 0,5 Meter",T$19*1000^2/($M$16*($K71/2000)^2*PI())*($K71/1000)/$O$16&gt;1000),2.3,1)))</f>
        <v>2.2999999999999998</v>
      </c>
      <c r="AJ157">
        <f>IF(AND($J126="Schlauch 8 mm 0,5 Meter",U$19*1000^2/($M$16*($K71/2000)^2*PI())*($K71/1000)/$O$16&gt;1000),2.3,IF(AND($J126="Schlauch 10 mm 0,5 Meter",U$19*1000^2/($M$16*($K71/2000)^2*PI())*($K71/1000)/$O$16&gt;1000),2.3,IF(AND($J126="Schlauch 13 mm 0,5 Meter",U$19*1000^2/($M$16*($K71/2000)^2*PI())*($K71/1000)/$O$16&gt;1000),2.3,1)))</f>
        <v>2.2999999999999998</v>
      </c>
      <c r="AK157">
        <f>IF(AND($J126="Schlauch 8 mm 0,5 Meter",V$19*1000^2/($M$16*($K71/2000)^2*PI())*($K71/1000)/$O$16&gt;1000),2.3,IF(AND($J126="Schlauch 10 mm 0,5 Meter",V$19*1000^2/($M$16*($K71/2000)^2*PI())*($K71/1000)/$O$16&gt;1000),2.3,IF(AND($J126="Schlauch 13 mm 0,5 Meter",V$19*1000^2/($M$16*($K71/2000)^2*PI())*($K71/1000)/$O$16&gt;1000),2.3,1)))</f>
        <v>2.2999999999999998</v>
      </c>
      <c r="AL157">
        <f>IF(AND($J126="Schlauch 8 mm 0,5 Meter",W$19*1000^2/($M$16*($K71/2000)^2*PI())*($K71/1000)/$O$16&gt;1000),2.3,IF(AND($J126="Schlauch 10 mm 0,5 Meter",W$19*1000^2/($M$16*($K71/2000)^2*PI())*($K71/1000)/$O$16&gt;1000),2.3,IF(AND($J126="Schlauch 13 mm 0,5 Meter",W$19*1000^2/($M$16*($K71/2000)^2*PI())*($K71/1000)/$O$16&gt;1000),2.3,1)))</f>
        <v>2.2999999999999998</v>
      </c>
      <c r="AM157">
        <f>IF(AND($J126="Schlauch 8 mm 0,5 Meter",X$19*1000^2/($M$16*($K71/2000)^2*PI())*($K71/1000)/$O$16&gt;1000),2.3,IF(AND($J126="Schlauch 10 mm 0,5 Meter",X$19*1000^2/($M$16*($K71/2000)^2*PI())*($K71/1000)/$O$16&gt;1000),2.3,IF(AND($J126="Schlauch 13 mm 0,5 Meter",X$19*1000^2/($M$16*($K71/2000)^2*PI())*($K71/1000)/$O$16&gt;1000),2.3,1)))</f>
        <v>2.2999999999999998</v>
      </c>
      <c r="AN157">
        <f>IF(AND($J126="Schlauch 8 mm 0,5 Meter",Y$19*1000^2/($M$16*($K71/2000)^2*PI())*($K71/1000)/$O$16&gt;1000),2.3,IF(AND($J126="Schlauch 10 mm 0,5 Meter",Y$19*1000^2/($M$16*($K71/2000)^2*PI())*($K71/1000)/$O$16&gt;1000),2.3,IF(AND($J126="Schlauch 13 mm 0,5 Meter",Y$19*1000^2/($M$16*($K71/2000)^2*PI())*($K71/1000)/$O$16&gt;1000),2.3,1)))</f>
        <v>2.2999999999999998</v>
      </c>
      <c r="AQ157">
        <v>134</v>
      </c>
      <c r="AR157" s="14">
        <v>4.4371524771567303</v>
      </c>
      <c r="AS157" s="13">
        <f t="shared" si="41"/>
        <v>43436.827065657795</v>
      </c>
      <c r="AT157" s="9">
        <v>3.4453805612021622</v>
      </c>
      <c r="AU157" s="13">
        <f t="shared" si="42"/>
        <v>33728.027238814931</v>
      </c>
    </row>
    <row r="158" spans="1:47" x14ac:dyDescent="0.35">
      <c r="A158">
        <f t="shared" si="37"/>
        <v>135</v>
      </c>
      <c r="B158" s="13">
        <f t="shared" si="38"/>
        <v>43394.587253303114</v>
      </c>
      <c r="F158">
        <f t="shared" si="39"/>
        <v>135</v>
      </c>
      <c r="G158" s="13">
        <f t="shared" si="40"/>
        <v>33703.818682713798</v>
      </c>
      <c r="I158" s="1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AQ158">
        <v>135</v>
      </c>
      <c r="AR158" s="14">
        <v>4.4328376019532323</v>
      </c>
      <c r="AS158" s="13">
        <f t="shared" si="41"/>
        <v>43394.587253303114</v>
      </c>
      <c r="AT158" s="9">
        <v>3.4429076122800382</v>
      </c>
      <c r="AU158" s="13">
        <f t="shared" si="42"/>
        <v>33703.818682713798</v>
      </c>
    </row>
    <row r="159" spans="1:47" x14ac:dyDescent="0.35">
      <c r="A159">
        <f t="shared" si="37"/>
        <v>136</v>
      </c>
      <c r="B159" s="13">
        <f t="shared" si="38"/>
        <v>43351.973457564025</v>
      </c>
      <c r="F159">
        <f t="shared" si="39"/>
        <v>136</v>
      </c>
      <c r="G159" s="13">
        <f t="shared" si="40"/>
        <v>33679.556269583714</v>
      </c>
      <c r="I159" s="1">
        <v>2</v>
      </c>
      <c r="J159" t="s">
        <v>69</v>
      </c>
      <c r="K159">
        <f>K127</f>
        <v>10</v>
      </c>
      <c r="L159" t="s">
        <v>70</v>
      </c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AQ159">
        <v>136</v>
      </c>
      <c r="AR159" s="14">
        <v>4.4284845236531316</v>
      </c>
      <c r="AS159" s="13">
        <f t="shared" si="41"/>
        <v>43351.973457564025</v>
      </c>
      <c r="AT159" s="9">
        <v>3.4404291617624798</v>
      </c>
      <c r="AU159" s="13">
        <f t="shared" si="42"/>
        <v>33679.556269583714</v>
      </c>
    </row>
    <row r="160" spans="1:47" x14ac:dyDescent="0.35">
      <c r="A160">
        <f t="shared" si="37"/>
        <v>137</v>
      </c>
      <c r="B160" s="13">
        <f t="shared" si="38"/>
        <v>43308.985153661706</v>
      </c>
      <c r="F160">
        <f t="shared" si="39"/>
        <v>137</v>
      </c>
      <c r="G160" s="13">
        <f t="shared" si="40"/>
        <v>33655.240276940945</v>
      </c>
      <c r="I160" s="1"/>
      <c r="J160" t="s">
        <v>71</v>
      </c>
      <c r="K160">
        <v>65</v>
      </c>
      <c r="L160" t="s">
        <v>70</v>
      </c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AQ160">
        <v>137</v>
      </c>
      <c r="AR160" s="14">
        <v>4.4240931886492971</v>
      </c>
      <c r="AS160" s="13">
        <f t="shared" si="41"/>
        <v>43308.985153661706</v>
      </c>
      <c r="AT160" s="9">
        <v>3.4379452379982904</v>
      </c>
      <c r="AU160" s="13">
        <f t="shared" si="42"/>
        <v>33655.240276940945</v>
      </c>
    </row>
    <row r="161" spans="1:47" x14ac:dyDescent="0.35">
      <c r="A161">
        <f t="shared" si="37"/>
        <v>138</v>
      </c>
      <c r="B161" s="13">
        <f t="shared" si="38"/>
        <v>43265.621819933658</v>
      </c>
      <c r="F161">
        <f t="shared" si="39"/>
        <v>138</v>
      </c>
      <c r="G161" s="13">
        <f t="shared" si="40"/>
        <v>33630.870978854291</v>
      </c>
      <c r="I161" s="1"/>
      <c r="J161" t="s">
        <v>72</v>
      </c>
      <c r="K161">
        <v>30</v>
      </c>
      <c r="L161" t="s">
        <v>73</v>
      </c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AQ161">
        <v>138</v>
      </c>
      <c r="AR161" s="14">
        <v>4.4196635436529359</v>
      </c>
      <c r="AS161" s="13">
        <f t="shared" si="41"/>
        <v>43265.621819933658</v>
      </c>
      <c r="AT161" s="9">
        <v>3.4354558689841053</v>
      </c>
      <c r="AU161" s="13">
        <f t="shared" si="42"/>
        <v>33630.870978854291</v>
      </c>
    </row>
    <row r="162" spans="1:47" x14ac:dyDescent="0.35">
      <c r="A162">
        <f t="shared" si="37"/>
        <v>139</v>
      </c>
      <c r="B162" s="13">
        <f t="shared" si="38"/>
        <v>43221.882937792652</v>
      </c>
      <c r="F162">
        <f t="shared" si="39"/>
        <v>139</v>
      </c>
      <c r="G162" s="13">
        <f t="shared" si="40"/>
        <v>33606.448646012555</v>
      </c>
      <c r="I162" s="1"/>
      <c r="J162" t="s">
        <v>76</v>
      </c>
      <c r="L162" s="4" t="s">
        <v>12</v>
      </c>
      <c r="M162" s="1">
        <v>0</v>
      </c>
      <c r="N162" s="10">
        <f>IF(N$19*1000^2/($M$16*($K159/2000)^2*PI())*($K159/1000)/$O$16&lt;2320,(64*PI()*$K160*($K161/180)*1000*$M$16*(N$19/($M$16*($K159/2000)^2*PI()))^2)/((N$19*1000^2/($M$16*($K159/2000)^2*PI())*($K159/1000)/$O$16)*1000*$K159*2)*AC162*AC163,(0.3164*PI()*$K160*($K161/180)*1000*$M$16*(N$19/($M$16*($K159/2000)^2*PI()))^2)/(((N$19*1000^2/($M$16*($K159/2000)^2*PI())*($K159/1000)/$O$16))^0.25*1000*$K159*2)*AC162*AC163)</f>
        <v>3.7812781379112965</v>
      </c>
      <c r="O162" s="10">
        <f>IF(O$19*1000^2/($M$16*($K159/2000)^2*PI())*($K159/1000)/$O$16&lt;2320,(64*PI()*$K160*($K161/180)*1000*$M$16*(O$19/($M$16*($K159/2000)^2*PI()))^2)/((O$19*1000^2/($M$16*($K159/2000)^2*PI())*($K159/1000)/$O$16)*1000*$K159*2)*AD162*AD163,(0.3164*PI()*$K160*($K161/180)*1000*$M$16*(O$19/($M$16*($K159/2000)^2*PI()))^2)/(((O$19*1000^2/($M$16*($K159/2000)^2*PI())*($K159/1000)/$O$16))^0.25*1000*$K159*2)*AD162*AD163)</f>
        <v>11.483271478760727</v>
      </c>
      <c r="P162" s="10">
        <f>IF(P$19*1000^2/($M$16*($K159/2000)^2*PI())*($K159/1000)/$O$16&lt;2320,(64*PI()*$K160*($K161/180)*1000*$M$16*(P$19/($M$16*($K159/2000)^2*PI()))^2)/((P$19*1000^2/($M$16*($K159/2000)^2*PI())*($K159/1000)/$O$16)*1000*$K159*2)*AE162*AE163,(0.3164*PI()*$K160*($K161/180)*1000*$M$16*(P$19/($M$16*($K159/2000)^2*PI()))^2)/(((P$19*1000^2/($M$16*($K159/2000)^2*PI())*($K159/1000)/$O$16))^0.25*1000*$K159*2)*AE162*AE163)</f>
        <v>21.436015489064793</v>
      </c>
      <c r="Q162" s="10">
        <f>IF(Q$19*1000^2/($M$16*($K159/2000)^2*PI())*($K159/1000)/$O$16&lt;2320,(64*PI()*$K160*($K161/180)*1000*$M$16*(Q$19/($M$16*($K159/2000)^2*PI()))^2)/((Q$19*1000^2/($M$16*($K159/2000)^2*PI())*($K159/1000)/$O$16)*1000*$K159*2)*AF162*AF163,(0.3164*PI()*$K160*($K161/180)*1000*$M$16*(Q$19/($M$16*($K159/2000)^2*PI()))^2)/(((Q$19*1000^2/($M$16*($K159/2000)^2*PI())*($K159/1000)/$O$16))^0.25*1000*$K159*2)*AF162*AF163)</f>
        <v>33.926958590957526</v>
      </c>
      <c r="R162" s="10">
        <f>IF(R$19*1000^2/($M$16*($K159/2000)^2*PI())*($K159/1000)/$O$16&lt;2320,(64*PI()*$K160*($K161/180)*1000*$M$16*(R$19/($M$16*($K159/2000)^2*PI()))^2)/((R$19*1000^2/($M$16*($K159/2000)^2*PI())*($K159/1000)/$O$16)*1000*$K159*2)*AG162*AG163,(0.3164*PI()*$K160*($K161/180)*1000*$M$16*(R$19/($M$16*($K159/2000)^2*PI()))^2)/(((R$19*1000^2/($M$16*($K159/2000)^2*PI())*($K159/1000)/$O$16))^0.25*1000*$K159*2)*AG162*AG163)</f>
        <v>48.79260797117356</v>
      </c>
      <c r="S162" s="10">
        <f>IF(S$19*1000^2/($M$16*($K159/2000)^2*PI())*($K159/1000)/$O$16&lt;2320,(64*PI()*$K160*($K161/180)*1000*$M$16*(S$19/($M$16*($K159/2000)^2*PI()))^2)/((S$19*1000^2/($M$16*($K159/2000)^2*PI())*($K159/1000)/$O$16)*1000*$K159*2)*AH162*AH163,(0.3164*PI()*$K160*($K161/180)*1000*$M$16*(S$19/($M$16*($K159/2000)^2*PI()))^2)/(((S$19*1000^2/($M$16*($K159/2000)^2*PI())*($K159/1000)/$O$16))^0.25*1000*$K159*2)*AH162*AH163)</f>
        <v>65.911753225490784</v>
      </c>
      <c r="T162" s="10">
        <f>IF(T$19*1000^2/($M$16*($K159/2000)^2*PI())*($K159/1000)/$O$16&lt;2320,(64*PI()*$K160*($K161/180)*1000*$M$16*(T$19/($M$16*($K159/2000)^2*PI()))^2)/((T$19*1000^2/($M$16*($K159/2000)^2*PI())*($K159/1000)/$O$16)*1000*$K159*2)*AI162*AI163,(0.3164*PI()*$K160*($K161/180)*1000*$M$16*(T$19/($M$16*($K159/2000)^2*PI()))^2)/(((T$19*1000^2/($M$16*($K159/2000)^2*PI())*($K159/1000)/$O$16))^0.25*1000*$K159*2)*AI162*AI163)</f>
        <v>85.189045774059736</v>
      </c>
      <c r="U162" s="10">
        <f>IF(U$19*1000^2/($M$16*($K159/2000)^2*PI())*($K159/1000)/$O$16&lt;2320,(64*PI()*$K160*($K161/180)*1000*$M$16*(U$19/($M$16*($K159/2000)^2*PI()))^2)/((U$19*1000^2/($M$16*($K159/2000)^2*PI())*($K159/1000)/$O$16)*1000*$K159*2)*AJ162*AJ163,(0.3164*PI()*$K160*($K161/180)*1000*$M$16*(U$19/($M$16*($K159/2000)^2*PI()))^2)/(((U$19*1000^2/($M$16*($K159/2000)^2*PI())*($K159/1000)/$O$16))^0.25*1000*$K159*2)*AJ162*AJ163)</f>
        <v>106.54647287406465</v>
      </c>
      <c r="V162" s="10">
        <f>IF(V$19*1000^2/($M$16*($K159/2000)^2*PI())*($K159/1000)/$O$16&lt;2320,(64*PI()*$K160*($K161/180)*1000*$M$16*(V$19/($M$16*($K159/2000)^2*PI()))^2)/((V$19*1000^2/($M$16*($K159/2000)^2*PI())*($K159/1000)/$O$16)*1000*$K159*2)*AK162*AK163,(0.3164*PI()*$K160*($K161/180)*1000*$M$16*(V$19/($M$16*($K159/2000)^2*PI()))^2)/(((V$19*1000^2/($M$16*($K159/2000)^2*PI())*($K159/1000)/$O$16))^0.25*1000*$K159*2)*AK162*AK163)</f>
        <v>129.9183861254046</v>
      </c>
      <c r="W162" s="10">
        <f>IF(W$19*1000^2/($M$16*($K159/2000)^2*PI())*($K159/1000)/$O$16&lt;2320,(64*PI()*$K160*($K161/180)*1000*$M$16*(W$19/($M$16*($K159/2000)^2*PI()))^2)/((W$19*1000^2/($M$16*($K159/2000)^2*PI())*($K159/1000)/$O$16)*1000*$K159*2)*AL162*AL163,(0.3164*PI()*$K160*($K161/180)*1000*$M$16*(W$19/($M$16*($K159/2000)^2*PI()))^2)/(((W$19*1000^2/($M$16*($K159/2000)^2*PI())*($K159/1000)/$O$16))^0.25*1000*$K159*2)*AL162*AL163)</f>
        <v>155.24836188837781</v>
      </c>
      <c r="X162" s="10">
        <f>IF(X$19*1000^2/($M$16*($K159/2000)^2*PI())*($K159/1000)/$O$16&lt;2320,(64*PI()*$K160*($K161/180)*1000*$M$16*(X$19/($M$16*($K159/2000)^2*PI()))^2)/((X$19*1000^2/($M$16*($K159/2000)^2*PI())*($K159/1000)/$O$16)*1000*$K159*2)*AM162*AM163,(0.3164*PI()*$K160*($K161/180)*1000*$M$16*(X$19/($M$16*($K159/2000)^2*PI()))^2)/(((X$19*1000^2/($M$16*($K159/2000)^2*PI())*($K159/1000)/$O$16))^0.25*1000*$K159*2)*AM162*AM163)</f>
        <v>182.48709889610544</v>
      </c>
      <c r="Y162" s="10">
        <f>IF(Y$19*1000^2/($M$16*($K159/2000)^2*PI())*($K159/1000)/$O$16&lt;2320,(64*PI()*$K160*($K161/180)*1000*$M$16*(Y$19/($M$16*($K159/2000)^2*PI()))^2)/((Y$19*1000^2/($M$16*($K159/2000)^2*PI())*($K159/1000)/$O$16)*1000*$K159*2)*AN162*AN163,(0.3164*PI()*$K160*($K161/180)*1000*$M$16*(Y$19/($M$16*($K159/2000)^2*PI()))^2)/(((Y$19*1000^2/($M$16*($K159/2000)^2*PI())*($K159/1000)/$O$16))^0.25*1000*$K159*2)*AN162*AN163)</f>
        <v>211.59094553529562</v>
      </c>
      <c r="AB162">
        <f>IF($K161=90,48.8278467851456 - 47.806959580207*EXP(-0.277239618115161*($K160/$K159)^-1.54747755889509),IF($K161=75,50.1417823050971 - 49.1135860314465*EXP(-0.301530732764457*($K160/$K159)^-1.54561444953472),IF($K161=60,54.7760811257494 - 53.7540574575869*EXP(-0.304630071575136*($K160/$K159)^-1.55407754771893),IF($K161=45,43.1114956669904 - 42.081470426847*EXP(-0.421774530709856*($K160/$K159)^-1.56548181659313),IF($K161=30,83.6300898181698 - 82.5595081919206*EXP(-0.232275883030308*($K160/$K159)^-1.58789653739729),IF($K161=15,107.103583610419 - 106.022180533241*EXP(-0.173822505110446*($K160/$K159)^-1.54794763569524),))))))</f>
        <v>2.0464013465575732</v>
      </c>
      <c r="AC162">
        <f>IF($K161=90,48.8278467851456 - 47.806959580207*EXP(-0.277239618115161*($K160/$K159)^-1.54747755889509),IF($K161=75,50.1417823050971 - 49.1135860314465*EXP(-0.301530732764457*($K160/$K159)^-1.54561444953472),IF($K161=60,54.7760811257494 - 53.7540574575869*EXP(-0.304630071575136*($K160/$K159)^-1.55407754771893),IF($K161=45,43.1114956669904 - 42.081470426847*EXP(-0.421774530709856*($K160/$K159)^-1.56548181659313),IF($K161=30,83.6300898181698 - 82.5595081919206*EXP(-0.232275883030308*($K160/$K159)^-1.58789653739729),IF($K161=15,107.103583610419 - 106.022180533241*EXP(-0.173822505110446*($K160/$K159)^-1.54794763569524),))))))</f>
        <v>2.0464013465575732</v>
      </c>
      <c r="AD162">
        <f>IF($K161=90,48.8278467851456 - 47.806959580207*EXP(-0.277239618115161*($K160/$K159)^-1.54747755889509),IF($K161=75,50.1417823050971 - 49.1135860314465*EXP(-0.301530732764457*($K160/$K159)^-1.54561444953472),IF($K161=60,54.7760811257494 - 53.7540574575869*EXP(-0.304630071575136*($K160/$K159)^-1.55407754771893),IF($K161=45,43.1114956669904 - 42.081470426847*EXP(-0.421774530709856*($K160/$K159)^-1.56548181659313),IF($K161=30,83.6300898181698 - 82.5595081919206*EXP(-0.232275883030308*($K160/$K159)^-1.58789653739729),IF($K161=15,107.103583610419 - 106.022180533241*EXP(-0.173822505110446*($K160/$K159)^-1.54794763569524),))))))</f>
        <v>2.0464013465575732</v>
      </c>
      <c r="AE162">
        <f>IF($K161=90,48.8278467851456 - 47.806959580207*EXP(-0.277239618115161*($K160/$K159)^-1.54747755889509),IF($K161=75,50.1417823050971 - 49.1135860314465*EXP(-0.301530732764457*($K160/$K159)^-1.54561444953472),IF($K161=60,54.7760811257494 - 53.7540574575869*EXP(-0.304630071575136*($K160/$K159)^-1.55407754771893),IF($K161=45,43.1114956669904 - 42.081470426847*EXP(-0.421774530709856*($K160/$K159)^-1.56548181659313),IF($K161=30,83.6300898181698 - 82.5595081919206*EXP(-0.232275883030308*($K160/$K159)^-1.58789653739729),IF($K161=15,107.103583610419 - 106.022180533241*EXP(-0.173822505110446*($K160/$K159)^-1.54794763569524),))))))</f>
        <v>2.0464013465575732</v>
      </c>
      <c r="AF162">
        <f>IF($K161=90,48.8278467851456 - 47.806959580207*EXP(-0.277239618115161*($K160/$K159)^-1.54747755889509),IF($K161=75,50.1417823050971 - 49.1135860314465*EXP(-0.301530732764457*($K160/$K159)^-1.54561444953472),IF($K161=60,54.7760811257494 - 53.7540574575869*EXP(-0.304630071575136*($K160/$K159)^-1.55407754771893),IF($K161=45,43.1114956669904 - 42.081470426847*EXP(-0.421774530709856*($K160/$K159)^-1.56548181659313),IF($K161=30,83.6300898181698 - 82.5595081919206*EXP(-0.232275883030308*($K160/$K159)^-1.58789653739729),IF($K161=15,107.103583610419 - 106.022180533241*EXP(-0.173822505110446*($K160/$K159)^-1.54794763569524),))))))</f>
        <v>2.0464013465575732</v>
      </c>
      <c r="AG162">
        <f>IF($K161=90,48.8278467851456 - 47.806959580207*EXP(-0.277239618115161*($K160/$K159)^-1.54747755889509),IF($K161=75,50.1417823050971 - 49.1135860314465*EXP(-0.301530732764457*($K160/$K159)^-1.54561444953472),IF($K161=60,54.7760811257494 - 53.7540574575869*EXP(-0.304630071575136*($K160/$K159)^-1.55407754771893),IF($K161=45,43.1114956669904 - 42.081470426847*EXP(-0.421774530709856*($K160/$K159)^-1.56548181659313),IF($K161=30,83.6300898181698 - 82.5595081919206*EXP(-0.232275883030308*($K160/$K159)^-1.58789653739729),IF($K161=15,107.103583610419 - 106.022180533241*EXP(-0.173822505110446*($K160/$K159)^-1.54794763569524),))))))</f>
        <v>2.0464013465575732</v>
      </c>
      <c r="AH162">
        <f>IF($K161=90,48.8278467851456 - 47.806959580207*EXP(-0.277239618115161*($K160/$K159)^-1.54747755889509),IF($K161=75,50.1417823050971 - 49.1135860314465*EXP(-0.301530732764457*($K160/$K159)^-1.54561444953472),IF($K161=60,54.7760811257494 - 53.7540574575869*EXP(-0.304630071575136*($K160/$K159)^-1.55407754771893),IF($K161=45,43.1114956669904 - 42.081470426847*EXP(-0.421774530709856*($K160/$K159)^-1.56548181659313),IF($K161=30,83.6300898181698 - 82.5595081919206*EXP(-0.232275883030308*($K160/$K159)^-1.58789653739729),IF($K161=15,107.103583610419 - 106.022180533241*EXP(-0.173822505110446*($K160/$K159)^-1.54794763569524),))))))</f>
        <v>2.0464013465575732</v>
      </c>
      <c r="AI162">
        <f>IF($K161=90,48.8278467851456 - 47.806959580207*EXP(-0.277239618115161*($K160/$K159)^-1.54747755889509),IF($K161=75,50.1417823050971 - 49.1135860314465*EXP(-0.301530732764457*($K160/$K159)^-1.54561444953472),IF($K161=60,54.7760811257494 - 53.7540574575869*EXP(-0.304630071575136*($K160/$K159)^-1.55407754771893),IF($K161=45,43.1114956669904 - 42.081470426847*EXP(-0.421774530709856*($K160/$K159)^-1.56548181659313),IF($K161=30,83.6300898181698 - 82.5595081919206*EXP(-0.232275883030308*($K160/$K159)^-1.58789653739729),IF($K161=15,107.103583610419 - 106.022180533241*EXP(-0.173822505110446*($K160/$K159)^-1.54794763569524),))))))</f>
        <v>2.0464013465575732</v>
      </c>
      <c r="AJ162">
        <f>IF($K161=90,48.8278467851456 - 47.806959580207*EXP(-0.277239618115161*($K160/$K159)^-1.54747755889509),IF($K161=75,50.1417823050971 - 49.1135860314465*EXP(-0.301530732764457*($K160/$K159)^-1.54561444953472),IF($K161=60,54.7760811257494 - 53.7540574575869*EXP(-0.304630071575136*($K160/$K159)^-1.55407754771893),IF($K161=45,43.1114956669904 - 42.081470426847*EXP(-0.421774530709856*($K160/$K159)^-1.56548181659313),IF($K161=30,83.6300898181698 - 82.5595081919206*EXP(-0.232275883030308*($K160/$K159)^-1.58789653739729),IF($K161=15,107.103583610419 - 106.022180533241*EXP(-0.173822505110446*($K160/$K159)^-1.54794763569524),))))))</f>
        <v>2.0464013465575732</v>
      </c>
      <c r="AK162">
        <f>IF($K161=90,48.8278467851456 - 47.806959580207*EXP(-0.277239618115161*($K160/$K159)^-1.54747755889509),IF($K161=75,50.1417823050971 - 49.1135860314465*EXP(-0.301530732764457*($K160/$K159)^-1.54561444953472),IF($K161=60,54.7760811257494 - 53.7540574575869*EXP(-0.304630071575136*($K160/$K159)^-1.55407754771893),IF($K161=45,43.1114956669904 - 42.081470426847*EXP(-0.421774530709856*($K160/$K159)^-1.56548181659313),IF($K161=30,83.6300898181698 - 82.5595081919206*EXP(-0.232275883030308*($K160/$K159)^-1.58789653739729),IF($K161=15,107.103583610419 - 106.022180533241*EXP(-0.173822505110446*($K160/$K159)^-1.54794763569524),))))))</f>
        <v>2.0464013465575732</v>
      </c>
      <c r="AL162">
        <f>IF($K161=90,48.8278467851456 - 47.806959580207*EXP(-0.277239618115161*($K160/$K159)^-1.54747755889509),IF($K161=75,50.1417823050971 - 49.1135860314465*EXP(-0.301530732764457*($K160/$K159)^-1.54561444953472),IF($K161=60,54.7760811257494 - 53.7540574575869*EXP(-0.304630071575136*($K160/$K159)^-1.55407754771893),IF($K161=45,43.1114956669904 - 42.081470426847*EXP(-0.421774530709856*($K160/$K159)^-1.56548181659313),IF($K161=30,83.6300898181698 - 82.5595081919206*EXP(-0.232275883030308*($K160/$K159)^-1.58789653739729),IF($K161=15,107.103583610419 - 106.022180533241*EXP(-0.173822505110446*($K160/$K159)^-1.54794763569524),))))))</f>
        <v>2.0464013465575732</v>
      </c>
      <c r="AM162">
        <f>IF($K161=90,48.8278467851456 - 47.806959580207*EXP(-0.277239618115161*($K160/$K159)^-1.54747755889509),IF($K161=75,50.1417823050971 - 49.1135860314465*EXP(-0.301530732764457*($K160/$K159)^-1.54561444953472),IF($K161=60,54.7760811257494 - 53.7540574575869*EXP(-0.304630071575136*($K160/$K159)^-1.55407754771893),IF($K161=45,43.1114956669904 - 42.081470426847*EXP(-0.421774530709856*($K160/$K159)^-1.56548181659313),IF($K161=30,83.6300898181698 - 82.5595081919206*EXP(-0.232275883030308*($K160/$K159)^-1.58789653739729),IF($K161=15,107.103583610419 - 106.022180533241*EXP(-0.173822505110446*($K160/$K159)^-1.54794763569524),))))))</f>
        <v>2.0464013465575732</v>
      </c>
      <c r="AN162">
        <f>IF($K161=90,48.8278467851456 - 47.806959580207*EXP(-0.277239618115161*($K160/$K159)^-1.54747755889509),IF($K161=75,50.1417823050971 - 49.1135860314465*EXP(-0.301530732764457*($K160/$K159)^-1.54561444953472),IF($K161=60,54.7760811257494 - 53.7540574575869*EXP(-0.304630071575136*($K160/$K159)^-1.55407754771893),IF($K161=45,43.1114956669904 - 42.081470426847*EXP(-0.421774530709856*($K160/$K159)^-1.56548181659313),IF($K161=30,83.6300898181698 - 82.5595081919206*EXP(-0.232275883030308*($K160/$K159)^-1.58789653739729),IF($K161=15,107.103583610419 - 106.022180533241*EXP(-0.173822505110446*($K160/$K159)^-1.54794763569524),))))))</f>
        <v>2.0464013465575732</v>
      </c>
      <c r="AQ162">
        <v>139</v>
      </c>
      <c r="AR162" s="14">
        <v>4.415195535689401</v>
      </c>
      <c r="AS162" s="13">
        <f t="shared" si="41"/>
        <v>43221.882937792652</v>
      </c>
      <c r="AT162" s="9">
        <v>3.4329610823712882</v>
      </c>
      <c r="AU162" s="13">
        <f t="shared" si="42"/>
        <v>33606.448646012555</v>
      </c>
    </row>
    <row r="163" spans="1:47" x14ac:dyDescent="0.35">
      <c r="A163">
        <f t="shared" si="37"/>
        <v>140</v>
      </c>
      <c r="B163" s="13">
        <f t="shared" si="38"/>
        <v>43177.76799168648</v>
      </c>
      <c r="F163">
        <f t="shared" si="39"/>
        <v>140</v>
      </c>
      <c r="G163" s="13">
        <f t="shared" si="40"/>
        <v>33581.973545790301</v>
      </c>
      <c r="I163" s="1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AB163">
        <f>IF(AND($J127="Schlauch 8 mm 0,5 Meter",M$19*1000^2/($M$16*($K72/2000)^2*PI())*($K72/1000)/$O$16&gt;1000),2.3,IF(AND($J127="Schlauch 10 mm 0,5 Meter",M$19*1000^2/($M$16*($K72/2000)^2*PI())*($K72/1000)/$O$16&gt;1000),2.3,IF(AND($J127="Schlauch 13 mm 0,5 Meter",M$19*1000^2/($M$16*($K72/2000)^2*PI())*($K72/1000)/$O$16&gt;1000),2.3,1)))</f>
        <v>1</v>
      </c>
      <c r="AC163">
        <f>IF(AND($J127="Schlauch 8 mm 0,5 Meter",N$19*1000^2/($M$16*($K72/2000)^2*PI())*($K72/1000)/$O$16&gt;1000),2.3,IF(AND($J127="Schlauch 10 mm 0,5 Meter",N$19*1000^2/($M$16*($K72/2000)^2*PI())*($K72/1000)/$O$16&gt;1000),2.3,IF(AND($J127="Schlauch 13 mm 0,5 Meter",N$19*1000^2/($M$16*($K72/2000)^2*PI())*($K72/1000)/$O$16&gt;1000),2.3,1)))</f>
        <v>2.2999999999999998</v>
      </c>
      <c r="AD163">
        <f>IF(AND($J127="Schlauch 8 mm 0,5 Meter",O$19*1000^2/($M$16*($K72/2000)^2*PI())*($K72/1000)/$O$16&gt;1000),2.3,IF(AND($J127="Schlauch 10 mm 0,5 Meter",O$19*1000^2/($M$16*($K72/2000)^2*PI())*($K72/1000)/$O$16&gt;1000),2.3,IF(AND($J127="Schlauch 13 mm 0,5 Meter",O$19*1000^2/($M$16*($K72/2000)^2*PI())*($K72/1000)/$O$16&gt;1000),2.3,1)))</f>
        <v>2.2999999999999998</v>
      </c>
      <c r="AE163">
        <f>IF(AND($J127="Schlauch 8 mm 0,5 Meter",P$19*1000^2/($M$16*($K72/2000)^2*PI())*($K72/1000)/$O$16&gt;1000),2.3,IF(AND($J127="Schlauch 10 mm 0,5 Meter",P$19*1000^2/($M$16*($K72/2000)^2*PI())*($K72/1000)/$O$16&gt;1000),2.3,IF(AND($J127="Schlauch 13 mm 0,5 Meter",P$19*1000^2/($M$16*($K72/2000)^2*PI())*($K72/1000)/$O$16&gt;1000),2.3,1)))</f>
        <v>2.2999999999999998</v>
      </c>
      <c r="AF163">
        <f>IF(AND($J127="Schlauch 8 mm 0,5 Meter",Q$19*1000^2/($M$16*($K72/2000)^2*PI())*($K72/1000)/$O$16&gt;1000),2.3,IF(AND($J127="Schlauch 10 mm 0,5 Meter",Q$19*1000^2/($M$16*($K72/2000)^2*PI())*($K72/1000)/$O$16&gt;1000),2.3,IF(AND($J127="Schlauch 13 mm 0,5 Meter",Q$19*1000^2/($M$16*($K72/2000)^2*PI())*($K72/1000)/$O$16&gt;1000),2.3,1)))</f>
        <v>2.2999999999999998</v>
      </c>
      <c r="AG163">
        <f>IF(AND($J127="Schlauch 8 mm 0,5 Meter",R$19*1000^2/($M$16*($K72/2000)^2*PI())*($K72/1000)/$O$16&gt;1000),2.3,IF(AND($J127="Schlauch 10 mm 0,5 Meter",R$19*1000^2/($M$16*($K72/2000)^2*PI())*($K72/1000)/$O$16&gt;1000),2.3,IF(AND($J127="Schlauch 13 mm 0,5 Meter",R$19*1000^2/($M$16*($K72/2000)^2*PI())*($K72/1000)/$O$16&gt;1000),2.3,1)))</f>
        <v>2.2999999999999998</v>
      </c>
      <c r="AH163">
        <f>IF(AND($J127="Schlauch 8 mm 0,5 Meter",S$19*1000^2/($M$16*($K72/2000)^2*PI())*($K72/1000)/$O$16&gt;1000),2.3,IF(AND($J127="Schlauch 10 mm 0,5 Meter",S$19*1000^2/($M$16*($K72/2000)^2*PI())*($K72/1000)/$O$16&gt;1000),2.3,IF(AND($J127="Schlauch 13 mm 0,5 Meter",S$19*1000^2/($M$16*($K72/2000)^2*PI())*($K72/1000)/$O$16&gt;1000),2.3,1)))</f>
        <v>2.2999999999999998</v>
      </c>
      <c r="AI163">
        <f>IF(AND($J127="Schlauch 8 mm 0,5 Meter",T$19*1000^2/($M$16*($K72/2000)^2*PI())*($K72/1000)/$O$16&gt;1000),2.3,IF(AND($J127="Schlauch 10 mm 0,5 Meter",T$19*1000^2/($M$16*($K72/2000)^2*PI())*($K72/1000)/$O$16&gt;1000),2.3,IF(AND($J127="Schlauch 13 mm 0,5 Meter",T$19*1000^2/($M$16*($K72/2000)^2*PI())*($K72/1000)/$O$16&gt;1000),2.3,1)))</f>
        <v>2.2999999999999998</v>
      </c>
      <c r="AJ163">
        <f>IF(AND($J127="Schlauch 8 mm 0,5 Meter",U$19*1000^2/($M$16*($K72/2000)^2*PI())*($K72/1000)/$O$16&gt;1000),2.3,IF(AND($J127="Schlauch 10 mm 0,5 Meter",U$19*1000^2/($M$16*($K72/2000)^2*PI())*($K72/1000)/$O$16&gt;1000),2.3,IF(AND($J127="Schlauch 13 mm 0,5 Meter",U$19*1000^2/($M$16*($K72/2000)^2*PI())*($K72/1000)/$O$16&gt;1000),2.3,1)))</f>
        <v>2.2999999999999998</v>
      </c>
      <c r="AK163">
        <f>IF(AND($J127="Schlauch 8 mm 0,5 Meter",V$19*1000^2/($M$16*($K72/2000)^2*PI())*($K72/1000)/$O$16&gt;1000),2.3,IF(AND($J127="Schlauch 10 mm 0,5 Meter",V$19*1000^2/($M$16*($K72/2000)^2*PI())*($K72/1000)/$O$16&gt;1000),2.3,IF(AND($J127="Schlauch 13 mm 0,5 Meter",V$19*1000^2/($M$16*($K72/2000)^2*PI())*($K72/1000)/$O$16&gt;1000),2.3,1)))</f>
        <v>2.2999999999999998</v>
      </c>
      <c r="AL163">
        <f>IF(AND($J127="Schlauch 8 mm 0,5 Meter",W$19*1000^2/($M$16*($K72/2000)^2*PI())*($K72/1000)/$O$16&gt;1000),2.3,IF(AND($J127="Schlauch 10 mm 0,5 Meter",W$19*1000^2/($M$16*($K72/2000)^2*PI())*($K72/1000)/$O$16&gt;1000),2.3,IF(AND($J127="Schlauch 13 mm 0,5 Meter",W$19*1000^2/($M$16*($K72/2000)^2*PI())*($K72/1000)/$O$16&gt;1000),2.3,1)))</f>
        <v>2.2999999999999998</v>
      </c>
      <c r="AM163">
        <f>IF(AND($J127="Schlauch 8 mm 0,5 Meter",X$19*1000^2/($M$16*($K72/2000)^2*PI())*($K72/1000)/$O$16&gt;1000),2.3,IF(AND($J127="Schlauch 10 mm 0,5 Meter",X$19*1000^2/($M$16*($K72/2000)^2*PI())*($K72/1000)/$O$16&gt;1000),2.3,IF(AND($J127="Schlauch 13 mm 0,5 Meter",X$19*1000^2/($M$16*($K72/2000)^2*PI())*($K72/1000)/$O$16&gt;1000),2.3,1)))</f>
        <v>2.2999999999999998</v>
      </c>
      <c r="AN163">
        <f>IF(AND($J127="Schlauch 8 mm 0,5 Meter",Y$19*1000^2/($M$16*($K72/2000)^2*PI())*($K72/1000)/$O$16&gt;1000),2.3,IF(AND($J127="Schlauch 10 mm 0,5 Meter",Y$19*1000^2/($M$16*($K72/2000)^2*PI())*($K72/1000)/$O$16&gt;1000),2.3,IF(AND($J127="Schlauch 13 mm 0,5 Meter",Y$19*1000^2/($M$16*($K72/2000)^2*PI())*($K72/1000)/$O$16&gt;1000),2.3,1)))</f>
        <v>2.2999999999999998</v>
      </c>
      <c r="AQ163">
        <v>140</v>
      </c>
      <c r="AR163" s="14">
        <v>4.4106891120940785</v>
      </c>
      <c r="AS163" s="13">
        <f t="shared" si="41"/>
        <v>43177.76799168648</v>
      </c>
      <c r="AT163" s="9">
        <v>3.4304609054726467</v>
      </c>
      <c r="AU163" s="13">
        <f t="shared" si="42"/>
        <v>33581.973545790301</v>
      </c>
    </row>
    <row r="164" spans="1:47" x14ac:dyDescent="0.35">
      <c r="A164">
        <f t="shared" si="37"/>
        <v>141</v>
      </c>
      <c r="B164" s="13">
        <f t="shared" si="38"/>
        <v>43133.276469058612</v>
      </c>
      <c r="F164">
        <f t="shared" si="39"/>
        <v>141</v>
      </c>
      <c r="G164" s="13">
        <f t="shared" si="40"/>
        <v>33557.445942311817</v>
      </c>
      <c r="I164" s="1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AQ164">
        <v>141</v>
      </c>
      <c r="AR164" s="14">
        <v>4.4061442205083674</v>
      </c>
      <c r="AS164" s="13">
        <f t="shared" si="41"/>
        <v>43133.276469058612</v>
      </c>
      <c r="AT164" s="9">
        <v>3.4279553652689669</v>
      </c>
      <c r="AU164" s="13">
        <f t="shared" si="42"/>
        <v>33557.445942311817</v>
      </c>
    </row>
    <row r="165" spans="1:47" x14ac:dyDescent="0.35">
      <c r="A165">
        <f t="shared" si="37"/>
        <v>142</v>
      </c>
      <c r="B165" s="13">
        <f t="shared" si="38"/>
        <v>43088.407860309548</v>
      </c>
      <c r="F165">
        <f t="shared" si="39"/>
        <v>142</v>
      </c>
      <c r="G165" s="13">
        <f t="shared" si="40"/>
        <v>33532.866096513455</v>
      </c>
      <c r="I165" s="1">
        <v>3</v>
      </c>
      <c r="J165" t="s">
        <v>69</v>
      </c>
      <c r="K165">
        <f>K128</f>
        <v>10</v>
      </c>
      <c r="L165" t="s">
        <v>70</v>
      </c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AQ165">
        <v>142</v>
      </c>
      <c r="AR165" s="14">
        <v>4.4015608088757316</v>
      </c>
      <c r="AS165" s="13">
        <f t="shared" si="41"/>
        <v>43088.407860309548</v>
      </c>
      <c r="AT165" s="9">
        <v>3.4254444884153825</v>
      </c>
      <c r="AU165" s="13">
        <f t="shared" si="42"/>
        <v>33532.866096513455</v>
      </c>
    </row>
    <row r="166" spans="1:47" x14ac:dyDescent="0.35">
      <c r="A166">
        <f t="shared" si="37"/>
        <v>143</v>
      </c>
      <c r="B166" s="13">
        <f t="shared" si="38"/>
        <v>43043.161658758916</v>
      </c>
      <c r="F166">
        <f t="shared" si="39"/>
        <v>143</v>
      </c>
      <c r="G166" s="13">
        <f t="shared" si="40"/>
        <v>33508.234266204301</v>
      </c>
      <c r="I166" s="1"/>
      <c r="J166" t="s">
        <v>71</v>
      </c>
      <c r="K166">
        <v>80</v>
      </c>
      <c r="L166" t="s">
        <v>70</v>
      </c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AQ166">
        <v>143</v>
      </c>
      <c r="AR166" s="14">
        <v>4.3969388254378341</v>
      </c>
      <c r="AS166" s="13">
        <f t="shared" si="41"/>
        <v>43043.161658758916</v>
      </c>
      <c r="AT166" s="9">
        <v>3.422928301247568</v>
      </c>
      <c r="AU166" s="13">
        <f t="shared" si="42"/>
        <v>33508.234266204301</v>
      </c>
    </row>
    <row r="167" spans="1:47" x14ac:dyDescent="0.35">
      <c r="A167">
        <f t="shared" si="37"/>
        <v>144</v>
      </c>
      <c r="B167" s="13">
        <f t="shared" si="38"/>
        <v>42997.537360608461</v>
      </c>
      <c r="F167">
        <f t="shared" si="39"/>
        <v>144</v>
      </c>
      <c r="G167" s="13">
        <f t="shared" si="40"/>
        <v>33483.550706125257</v>
      </c>
      <c r="I167" s="1"/>
      <c r="J167" t="s">
        <v>72</v>
      </c>
      <c r="K167">
        <v>30</v>
      </c>
      <c r="L167" t="s">
        <v>73</v>
      </c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AQ167">
        <v>144</v>
      </c>
      <c r="AR167" s="14">
        <v>4.3922782187307456</v>
      </c>
      <c r="AS167" s="13">
        <f t="shared" si="41"/>
        <v>42997.537360608461</v>
      </c>
      <c r="AT167" s="9">
        <v>3.420406829787781</v>
      </c>
      <c r="AU167" s="13">
        <f t="shared" si="42"/>
        <v>33483.550706125257</v>
      </c>
    </row>
    <row r="168" spans="1:47" x14ac:dyDescent="0.35">
      <c r="A168">
        <f t="shared" si="37"/>
        <v>145</v>
      </c>
      <c r="B168" s="13">
        <f t="shared" si="38"/>
        <v>42951.534464905591</v>
      </c>
      <c r="F168">
        <f t="shared" si="39"/>
        <v>145</v>
      </c>
      <c r="G168" s="13">
        <f t="shared" si="40"/>
        <v>33458.815668006682</v>
      </c>
      <c r="I168" s="1"/>
      <c r="J168" t="s">
        <v>76</v>
      </c>
      <c r="L168" s="4" t="s">
        <v>12</v>
      </c>
      <c r="M168" s="1">
        <v>0</v>
      </c>
      <c r="N168" s="10">
        <f>IF(N$19*1000^2/($M$16*($K165/2000)^2*PI())*($K165/1000)/$O$16&lt;2320,(64*PI()*$K166*($K167/180)*1000*$M$16*(N$19/($M$16*($K165/2000)^2*PI()))^2)/((N$19*1000^2/($M$16*($K165/2000)^2*PI())*($K165/1000)/$O$16)*1000*$K165*2)*AC168*AC169,(0.3164*PI()*$K166*($K167/180)*1000*$M$16*(N$19/($M$16*($K165/2000)^2*PI()))^2)/(((N$19*1000^2/($M$16*($K165/2000)^2*PI())*($K165/1000)/$O$16))^0.25*1000*$K165*2)*AC168*AC169)</f>
        <v>4.0332452421698335</v>
      </c>
      <c r="O168" s="10">
        <f>IF(O$19*1000^2/($M$16*($K165/2000)^2*PI())*($K165/1000)/$O$16&lt;2320,(64*PI()*$K166*($K167/180)*1000*$M$16*(O$19/($M$16*($K165/2000)^2*PI()))^2)/((O$19*1000^2/($M$16*($K165/2000)^2*PI())*($K165/1000)/$O$16)*1000*$K165*2)*AD168*AD169,(0.3164*PI()*$K166*($K167/180)*1000*$M$16*(O$19/($M$16*($K165/2000)^2*PI()))^2)/(((O$19*1000^2/($M$16*($K165/2000)^2*PI())*($K165/1000)/$O$16))^0.25*1000*$K165*2)*AD168*AD169)</f>
        <v>12.248464240675949</v>
      </c>
      <c r="P168" s="10">
        <f>IF(P$19*1000^2/($M$16*($K165/2000)^2*PI())*($K165/1000)/$O$16&lt;2320,(64*PI()*$K166*($K167/180)*1000*$M$16*(P$19/($M$16*($K165/2000)^2*PI()))^2)/((P$19*1000^2/($M$16*($K165/2000)^2*PI())*($K165/1000)/$O$16)*1000*$K165*2)*AE168*AE169,(0.3164*PI()*$K166*($K167/180)*1000*$M$16*(P$19/($M$16*($K165/2000)^2*PI()))^2)/(((P$19*1000^2/($M$16*($K165/2000)^2*PI())*($K165/1000)/$O$16))^0.25*1000*$K165*2)*AE168*AE169)</f>
        <v>22.864413653026435</v>
      </c>
      <c r="Q168" s="10">
        <f>IF(Q$19*1000^2/($M$16*($K165/2000)^2*PI())*($K165/1000)/$O$16&lt;2320,(64*PI()*$K166*($K167/180)*1000*$M$16*(Q$19/($M$16*($K165/2000)^2*PI()))^2)/((Q$19*1000^2/($M$16*($K165/2000)^2*PI())*($K165/1000)/$O$16)*1000*$K165*2)*AF168*AF169,(0.3164*PI()*$K166*($K167/180)*1000*$M$16*(Q$19/($M$16*($K165/2000)^2*PI()))^2)/(((Q$19*1000^2/($M$16*($K165/2000)^2*PI())*($K165/1000)/$O$16))^0.25*1000*$K165*2)*AF168*AF169)</f>
        <v>36.187696151296009</v>
      </c>
      <c r="R168" s="10">
        <f>IF(R$19*1000^2/($M$16*($K165/2000)^2*PI())*($K165/1000)/$O$16&lt;2320,(64*PI()*$K166*($K167/180)*1000*$M$16*(R$19/($M$16*($K165/2000)^2*PI()))^2)/((R$19*1000^2/($M$16*($K165/2000)^2*PI())*($K165/1000)/$O$16)*1000*$K165*2)*AG168*AG169,(0.3164*PI()*$K166*($K167/180)*1000*$M$16*(R$19/($M$16*($K165/2000)^2*PI()))^2)/(((R$19*1000^2/($M$16*($K165/2000)^2*PI())*($K165/1000)/$O$16))^0.25*1000*$K165*2)*AG168*AG169)</f>
        <v>52.04392450789085</v>
      </c>
      <c r="S168" s="10">
        <f>IF(S$19*1000^2/($M$16*($K165/2000)^2*PI())*($K165/1000)/$O$16&lt;2320,(64*PI()*$K166*($K167/180)*1000*$M$16*(S$19/($M$16*($K165/2000)^2*PI()))^2)/((S$19*1000^2/($M$16*($K165/2000)^2*PI())*($K165/1000)/$O$16)*1000*$K165*2)*AH168*AH169,(0.3164*PI()*$K166*($K167/180)*1000*$M$16*(S$19/($M$16*($K165/2000)^2*PI()))^2)/(((S$19*1000^2/($M$16*($K165/2000)^2*PI())*($K165/1000)/$O$16))^0.25*1000*$K165*2)*AH168*AH169)</f>
        <v>70.303811410875653</v>
      </c>
      <c r="T168" s="10">
        <f>IF(T$19*1000^2/($M$16*($K165/2000)^2*PI())*($K165/1000)/$O$16&lt;2320,(64*PI()*$K166*($K167/180)*1000*$M$16*(T$19/($M$16*($K165/2000)^2*PI()))^2)/((T$19*1000^2/($M$16*($K165/2000)^2*PI())*($K165/1000)/$O$16)*1000*$K165*2)*AI168*AI169,(0.3164*PI()*$K166*($K167/180)*1000*$M$16*(T$19/($M$16*($K165/2000)^2*PI()))^2)/(((T$19*1000^2/($M$16*($K165/2000)^2*PI())*($K165/1000)/$O$16))^0.25*1000*$K165*2)*AI168*AI169)</f>
        <v>90.865654686540992</v>
      </c>
      <c r="U168" s="10">
        <f>IF(U$19*1000^2/($M$16*($K165/2000)^2*PI())*($K165/1000)/$O$16&lt;2320,(64*PI()*$K166*($K167/180)*1000*$M$16*(U$19/($M$16*($K165/2000)^2*PI()))^2)/((U$19*1000^2/($M$16*($K165/2000)^2*PI())*($K165/1000)/$O$16)*1000*$K165*2)*AJ168*AJ169,(0.3164*PI()*$K166*($K167/180)*1000*$M$16*(U$19/($M$16*($K165/2000)^2*PI()))^2)/(((U$19*1000^2/($M$16*($K165/2000)^2*PI())*($K165/1000)/$O$16))^0.25*1000*$K165*2)*AJ168*AJ169)</f>
        <v>113.64624317921023</v>
      </c>
      <c r="V168" s="10">
        <f>IF(V$19*1000^2/($M$16*($K165/2000)^2*PI())*($K165/1000)/$O$16&lt;2320,(64*PI()*$K166*($K167/180)*1000*$M$16*(V$19/($M$16*($K165/2000)^2*PI()))^2)/((V$19*1000^2/($M$16*($K165/2000)^2*PI())*($K165/1000)/$O$16)*1000*$K165*2)*AK168*AK169,(0.3164*PI()*$K166*($K167/180)*1000*$M$16*(V$19/($M$16*($K165/2000)^2*PI()))^2)/(((V$19*1000^2/($M$16*($K165/2000)^2*PI())*($K165/1000)/$O$16))^0.25*1000*$K165*2)*AK168*AK169)</f>
        <v>138.57555397924642</v>
      </c>
      <c r="W168" s="10">
        <f>IF(W$19*1000^2/($M$16*($K165/2000)^2*PI())*($K165/1000)/$O$16&lt;2320,(64*PI()*$K166*($K167/180)*1000*$M$16*(W$19/($M$16*($K165/2000)^2*PI()))^2)/((W$19*1000^2/($M$16*($K165/2000)^2*PI())*($K165/1000)/$O$16)*1000*$K165*2)*AL168*AL169,(0.3164*PI()*$K166*($K167/180)*1000*$M$16*(W$19/($M$16*($K165/2000)^2*PI()))^2)/(((W$19*1000^2/($M$16*($K165/2000)^2*PI())*($K165/1000)/$O$16))^0.25*1000*$K165*2)*AL168*AL169)</f>
        <v>165.59340363331111</v>
      </c>
      <c r="X168" s="10">
        <f>IF(X$19*1000^2/($M$16*($K165/2000)^2*PI())*($K165/1000)/$O$16&lt;2320,(64*PI()*$K166*($K167/180)*1000*$M$16*(X$19/($M$16*($K165/2000)^2*PI()))^2)/((X$19*1000^2/($M$16*($K165/2000)^2*PI())*($K165/1000)/$O$16)*1000*$K165*2)*AM168*AM169,(0.3164*PI()*$K166*($K167/180)*1000*$M$16*(X$19/($M$16*($K165/2000)^2*PI()))^2)/(((X$19*1000^2/($M$16*($K165/2000)^2*PI())*($K165/1000)/$O$16))^0.25*1000*$K165*2)*AM168*AM169)</f>
        <v>194.64720566328225</v>
      </c>
      <c r="Y168" s="10">
        <f>IF(Y$19*1000^2/($M$16*($K165/2000)^2*PI())*($K165/1000)/$O$16&lt;2320,(64*PI()*$K166*($K167/180)*1000*$M$16*(Y$19/($M$16*($K165/2000)^2*PI()))^2)/((Y$19*1000^2/($M$16*($K165/2000)^2*PI())*($K165/1000)/$O$16)*1000*$K165*2)*AN168*AN169,(0.3164*PI()*$K166*($K167/180)*1000*$M$16*(Y$19/($M$16*($K165/2000)^2*PI()))^2)/(((Y$19*1000^2/($M$16*($K165/2000)^2*PI())*($K165/1000)/$O$16))^0.25*1000*$K165*2)*AN168*AN169)</f>
        <v>225.69039971173547</v>
      </c>
      <c r="AB168">
        <f>IF($K167=90,48.8278467851456 - 47.806959580207*EXP(-0.277239618115161*($K166/$K165)^-1.54747755889509),IF($K167=75,50.1417823050971 - 49.1135860314465*EXP(-0.301530732764457*($K166/$K165)^-1.54561444953472),IF($K167=60,54.7760811257494 - 53.7540574575869*EXP(-0.304630071575136*($K166/$K165)^-1.55407754771893),IF($K167=45,43.1114956669904 - 42.081470426847*EXP(-0.421774530709856*($K166/$K165)^-1.56548181659313),IF($K167=30,83.6300898181698 - 82.5595081919206*EXP(-0.232275883030308*($K166/$K165)^-1.58789653739729),IF($K167=15,107.103583610419 - 106.022180533241*EXP(-0.173822505110446*($K166/$K165)^-1.54794763569524),))))))</f>
        <v>1.7734959006599524</v>
      </c>
      <c r="AC168">
        <f>IF($K167=90,48.8278467851456 - 47.806959580207*EXP(-0.277239618115161*($K166/$K165)^-1.54747755889509),IF($K167=75,50.1417823050971 - 49.1135860314465*EXP(-0.301530732764457*($K166/$K165)^-1.54561444953472),IF($K167=60,54.7760811257494 - 53.7540574575869*EXP(-0.304630071575136*($K166/$K165)^-1.55407754771893),IF($K167=45,43.1114956669904 - 42.081470426847*EXP(-0.421774530709856*($K166/$K165)^-1.56548181659313),IF($K167=30,83.6300898181698 - 82.5595081919206*EXP(-0.232275883030308*($K166/$K165)^-1.58789653739729),IF($K167=15,107.103583610419 - 106.022180533241*EXP(-0.173822505110446*($K166/$K165)^-1.54794763569524),))))))</f>
        <v>1.7734959006599524</v>
      </c>
      <c r="AD168">
        <f>IF($K167=90,48.8278467851456 - 47.806959580207*EXP(-0.277239618115161*($K166/$K165)^-1.54747755889509),IF($K167=75,50.1417823050971 - 49.1135860314465*EXP(-0.301530732764457*($K166/$K165)^-1.54561444953472),IF($K167=60,54.7760811257494 - 53.7540574575869*EXP(-0.304630071575136*($K166/$K165)^-1.55407754771893),IF($K167=45,43.1114956669904 - 42.081470426847*EXP(-0.421774530709856*($K166/$K165)^-1.56548181659313),IF($K167=30,83.6300898181698 - 82.5595081919206*EXP(-0.232275883030308*($K166/$K165)^-1.58789653739729),IF($K167=15,107.103583610419 - 106.022180533241*EXP(-0.173822505110446*($K166/$K165)^-1.54794763569524),))))))</f>
        <v>1.7734959006599524</v>
      </c>
      <c r="AE168">
        <f>IF($K167=90,48.8278467851456 - 47.806959580207*EXP(-0.277239618115161*($K166/$K165)^-1.54747755889509),IF($K167=75,50.1417823050971 - 49.1135860314465*EXP(-0.301530732764457*($K166/$K165)^-1.54561444953472),IF($K167=60,54.7760811257494 - 53.7540574575869*EXP(-0.304630071575136*($K166/$K165)^-1.55407754771893),IF($K167=45,43.1114956669904 - 42.081470426847*EXP(-0.421774530709856*($K166/$K165)^-1.56548181659313),IF($K167=30,83.6300898181698 - 82.5595081919206*EXP(-0.232275883030308*($K166/$K165)^-1.58789653739729),IF($K167=15,107.103583610419 - 106.022180533241*EXP(-0.173822505110446*($K166/$K165)^-1.54794763569524),))))))</f>
        <v>1.7734959006599524</v>
      </c>
      <c r="AF168">
        <f>IF($K167=90,48.8278467851456 - 47.806959580207*EXP(-0.277239618115161*($K166/$K165)^-1.54747755889509),IF($K167=75,50.1417823050971 - 49.1135860314465*EXP(-0.301530732764457*($K166/$K165)^-1.54561444953472),IF($K167=60,54.7760811257494 - 53.7540574575869*EXP(-0.304630071575136*($K166/$K165)^-1.55407754771893),IF($K167=45,43.1114956669904 - 42.081470426847*EXP(-0.421774530709856*($K166/$K165)^-1.56548181659313),IF($K167=30,83.6300898181698 - 82.5595081919206*EXP(-0.232275883030308*($K166/$K165)^-1.58789653739729),IF($K167=15,107.103583610419 - 106.022180533241*EXP(-0.173822505110446*($K166/$K165)^-1.54794763569524),))))))</f>
        <v>1.7734959006599524</v>
      </c>
      <c r="AG168">
        <f>IF($K167=90,48.8278467851456 - 47.806959580207*EXP(-0.277239618115161*($K166/$K165)^-1.54747755889509),IF($K167=75,50.1417823050971 - 49.1135860314465*EXP(-0.301530732764457*($K166/$K165)^-1.54561444953472),IF($K167=60,54.7760811257494 - 53.7540574575869*EXP(-0.304630071575136*($K166/$K165)^-1.55407754771893),IF($K167=45,43.1114956669904 - 42.081470426847*EXP(-0.421774530709856*($K166/$K165)^-1.56548181659313),IF($K167=30,83.6300898181698 - 82.5595081919206*EXP(-0.232275883030308*($K166/$K165)^-1.58789653739729),IF($K167=15,107.103583610419 - 106.022180533241*EXP(-0.173822505110446*($K166/$K165)^-1.54794763569524),))))))</f>
        <v>1.7734959006599524</v>
      </c>
      <c r="AH168">
        <f>IF($K167=90,48.8278467851456 - 47.806959580207*EXP(-0.277239618115161*($K166/$K165)^-1.54747755889509),IF($K167=75,50.1417823050971 - 49.1135860314465*EXP(-0.301530732764457*($K166/$K165)^-1.54561444953472),IF($K167=60,54.7760811257494 - 53.7540574575869*EXP(-0.304630071575136*($K166/$K165)^-1.55407754771893),IF($K167=45,43.1114956669904 - 42.081470426847*EXP(-0.421774530709856*($K166/$K165)^-1.56548181659313),IF($K167=30,83.6300898181698 - 82.5595081919206*EXP(-0.232275883030308*($K166/$K165)^-1.58789653739729),IF($K167=15,107.103583610419 - 106.022180533241*EXP(-0.173822505110446*($K166/$K165)^-1.54794763569524),))))))</f>
        <v>1.7734959006599524</v>
      </c>
      <c r="AI168">
        <f>IF($K167=90,48.8278467851456 - 47.806959580207*EXP(-0.277239618115161*($K166/$K165)^-1.54747755889509),IF($K167=75,50.1417823050971 - 49.1135860314465*EXP(-0.301530732764457*($K166/$K165)^-1.54561444953472),IF($K167=60,54.7760811257494 - 53.7540574575869*EXP(-0.304630071575136*($K166/$K165)^-1.55407754771893),IF($K167=45,43.1114956669904 - 42.081470426847*EXP(-0.421774530709856*($K166/$K165)^-1.56548181659313),IF($K167=30,83.6300898181698 - 82.5595081919206*EXP(-0.232275883030308*($K166/$K165)^-1.58789653739729),IF($K167=15,107.103583610419 - 106.022180533241*EXP(-0.173822505110446*($K166/$K165)^-1.54794763569524),))))))</f>
        <v>1.7734959006599524</v>
      </c>
      <c r="AJ168">
        <f>IF($K167=90,48.8278467851456 - 47.806959580207*EXP(-0.277239618115161*($K166/$K165)^-1.54747755889509),IF($K167=75,50.1417823050971 - 49.1135860314465*EXP(-0.301530732764457*($K166/$K165)^-1.54561444953472),IF($K167=60,54.7760811257494 - 53.7540574575869*EXP(-0.304630071575136*($K166/$K165)^-1.55407754771893),IF($K167=45,43.1114956669904 - 42.081470426847*EXP(-0.421774530709856*($K166/$K165)^-1.56548181659313),IF($K167=30,83.6300898181698 - 82.5595081919206*EXP(-0.232275883030308*($K166/$K165)^-1.58789653739729),IF($K167=15,107.103583610419 - 106.022180533241*EXP(-0.173822505110446*($K166/$K165)^-1.54794763569524),))))))</f>
        <v>1.7734959006599524</v>
      </c>
      <c r="AK168">
        <f>IF($K167=90,48.8278467851456 - 47.806959580207*EXP(-0.277239618115161*($K166/$K165)^-1.54747755889509),IF($K167=75,50.1417823050971 - 49.1135860314465*EXP(-0.301530732764457*($K166/$K165)^-1.54561444953472),IF($K167=60,54.7760811257494 - 53.7540574575869*EXP(-0.304630071575136*($K166/$K165)^-1.55407754771893),IF($K167=45,43.1114956669904 - 42.081470426847*EXP(-0.421774530709856*($K166/$K165)^-1.56548181659313),IF($K167=30,83.6300898181698 - 82.5595081919206*EXP(-0.232275883030308*($K166/$K165)^-1.58789653739729),IF($K167=15,107.103583610419 - 106.022180533241*EXP(-0.173822505110446*($K166/$K165)^-1.54794763569524),))))))</f>
        <v>1.7734959006599524</v>
      </c>
      <c r="AL168">
        <f>IF($K167=90,48.8278467851456 - 47.806959580207*EXP(-0.277239618115161*($K166/$K165)^-1.54747755889509),IF($K167=75,50.1417823050971 - 49.1135860314465*EXP(-0.301530732764457*($K166/$K165)^-1.54561444953472),IF($K167=60,54.7760811257494 - 53.7540574575869*EXP(-0.304630071575136*($K166/$K165)^-1.55407754771893),IF($K167=45,43.1114956669904 - 42.081470426847*EXP(-0.421774530709856*($K166/$K165)^-1.56548181659313),IF($K167=30,83.6300898181698 - 82.5595081919206*EXP(-0.232275883030308*($K166/$K165)^-1.58789653739729),IF($K167=15,107.103583610419 - 106.022180533241*EXP(-0.173822505110446*($K166/$K165)^-1.54794763569524),))))))</f>
        <v>1.7734959006599524</v>
      </c>
      <c r="AM168">
        <f>IF($K167=90,48.8278467851456 - 47.806959580207*EXP(-0.277239618115161*($K166/$K165)^-1.54747755889509),IF($K167=75,50.1417823050971 - 49.1135860314465*EXP(-0.301530732764457*($K166/$K165)^-1.54561444953472),IF($K167=60,54.7760811257494 - 53.7540574575869*EXP(-0.304630071575136*($K166/$K165)^-1.55407754771893),IF($K167=45,43.1114956669904 - 42.081470426847*EXP(-0.421774530709856*($K166/$K165)^-1.56548181659313),IF($K167=30,83.6300898181698 - 82.5595081919206*EXP(-0.232275883030308*($K166/$K165)^-1.58789653739729),IF($K167=15,107.103583610419 - 106.022180533241*EXP(-0.173822505110446*($K166/$K165)^-1.54794763569524),))))))</f>
        <v>1.7734959006599524</v>
      </c>
      <c r="AN168">
        <f>IF($K167=90,48.8278467851456 - 47.806959580207*EXP(-0.277239618115161*($K166/$K165)^-1.54747755889509),IF($K167=75,50.1417823050971 - 49.1135860314465*EXP(-0.301530732764457*($K166/$K165)^-1.54561444953472),IF($K167=60,54.7760811257494 - 53.7540574575869*EXP(-0.304630071575136*($K166/$K165)^-1.55407754771893),IF($K167=45,43.1114956669904 - 42.081470426847*EXP(-0.421774530709856*($K166/$K165)^-1.56548181659313),IF($K167=30,83.6300898181698 - 82.5595081919206*EXP(-0.232275883030308*($K166/$K165)^-1.58789653739729),IF($K167=15,107.103583610419 - 106.022180533241*EXP(-0.173822505110446*($K166/$K165)^-1.54794763569524),))))))</f>
        <v>1.7734959006599524</v>
      </c>
      <c r="AQ168">
        <v>145</v>
      </c>
      <c r="AR168" s="14">
        <v>4.3875789375812309</v>
      </c>
      <c r="AS168" s="13">
        <f t="shared" si="41"/>
        <v>42951.534464905591</v>
      </c>
      <c r="AT168" s="9">
        <v>3.4178800997507435</v>
      </c>
      <c r="AU168" s="13">
        <f t="shared" si="42"/>
        <v>33458.815668006682</v>
      </c>
    </row>
    <row r="169" spans="1:47" x14ac:dyDescent="0.35">
      <c r="A169">
        <f t="shared" si="37"/>
        <v>146</v>
      </c>
      <c r="B169" s="13">
        <f t="shared" si="38"/>
        <v>42905.15247350774</v>
      </c>
      <c r="F169">
        <f t="shared" si="39"/>
        <v>146</v>
      </c>
      <c r="G169" s="13">
        <f t="shared" si="40"/>
        <v>33434.029400624473</v>
      </c>
      <c r="I169" s="1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AB169">
        <f>IF(AND($J128="Schlauch 8 mm 0,5 Meter",M$19*1000^2/($M$16*($K73/2000)^2*PI())*($K73/1000)/$O$16&gt;1000),2.3,IF(AND($J128="Schlauch 10 mm 0,5 Meter",M$19*1000^2/($M$16*($K73/2000)^2*PI())*($K73/1000)/$O$16&gt;1000),2.3,IF(AND($J128="Schlauch 13 mm 0,5 Meter",M$19*1000^2/($M$16*($K73/2000)^2*PI())*($K73/1000)/$O$16&gt;1000),2.3,1)))</f>
        <v>1</v>
      </c>
      <c r="AC169">
        <f>IF(AND($J128="Schlauch 8 mm 0,5 Meter",N$19*1000^2/($M$16*($K73/2000)^2*PI())*($K73/1000)/$O$16&gt;1000),2.3,IF(AND($J128="Schlauch 10 mm 0,5 Meter",N$19*1000^2/($M$16*($K73/2000)^2*PI())*($K73/1000)/$O$16&gt;1000),2.3,IF(AND($J128="Schlauch 13 mm 0,5 Meter",N$19*1000^2/($M$16*($K73/2000)^2*PI())*($K73/1000)/$O$16&gt;1000),2.3,1)))</f>
        <v>2.2999999999999998</v>
      </c>
      <c r="AD169">
        <f>IF(AND($J128="Schlauch 8 mm 0,5 Meter",O$19*1000^2/($M$16*($K73/2000)^2*PI())*($K73/1000)/$O$16&gt;1000),2.3,IF(AND($J128="Schlauch 10 mm 0,5 Meter",O$19*1000^2/($M$16*($K73/2000)^2*PI())*($K73/1000)/$O$16&gt;1000),2.3,IF(AND($J128="Schlauch 13 mm 0,5 Meter",O$19*1000^2/($M$16*($K73/2000)^2*PI())*($K73/1000)/$O$16&gt;1000),2.3,1)))</f>
        <v>2.2999999999999998</v>
      </c>
      <c r="AE169">
        <f>IF(AND($J128="Schlauch 8 mm 0,5 Meter",P$19*1000^2/($M$16*($K73/2000)^2*PI())*($K73/1000)/$O$16&gt;1000),2.3,IF(AND($J128="Schlauch 10 mm 0,5 Meter",P$19*1000^2/($M$16*($K73/2000)^2*PI())*($K73/1000)/$O$16&gt;1000),2.3,IF(AND($J128="Schlauch 13 mm 0,5 Meter",P$19*1000^2/($M$16*($K73/2000)^2*PI())*($K73/1000)/$O$16&gt;1000),2.3,1)))</f>
        <v>2.2999999999999998</v>
      </c>
      <c r="AF169">
        <f>IF(AND($J128="Schlauch 8 mm 0,5 Meter",Q$19*1000^2/($M$16*($K73/2000)^2*PI())*($K73/1000)/$O$16&gt;1000),2.3,IF(AND($J128="Schlauch 10 mm 0,5 Meter",Q$19*1000^2/($M$16*($K73/2000)^2*PI())*($K73/1000)/$O$16&gt;1000),2.3,IF(AND($J128="Schlauch 13 mm 0,5 Meter",Q$19*1000^2/($M$16*($K73/2000)^2*PI())*($K73/1000)/$O$16&gt;1000),2.3,1)))</f>
        <v>2.2999999999999998</v>
      </c>
      <c r="AG169">
        <f>IF(AND($J128="Schlauch 8 mm 0,5 Meter",R$19*1000^2/($M$16*($K73/2000)^2*PI())*($K73/1000)/$O$16&gt;1000),2.3,IF(AND($J128="Schlauch 10 mm 0,5 Meter",R$19*1000^2/($M$16*($K73/2000)^2*PI())*($K73/1000)/$O$16&gt;1000),2.3,IF(AND($J128="Schlauch 13 mm 0,5 Meter",R$19*1000^2/($M$16*($K73/2000)^2*PI())*($K73/1000)/$O$16&gt;1000),2.3,1)))</f>
        <v>2.2999999999999998</v>
      </c>
      <c r="AH169">
        <f>IF(AND($J128="Schlauch 8 mm 0,5 Meter",S$19*1000^2/($M$16*($K73/2000)^2*PI())*($K73/1000)/$O$16&gt;1000),2.3,IF(AND($J128="Schlauch 10 mm 0,5 Meter",S$19*1000^2/($M$16*($K73/2000)^2*PI())*($K73/1000)/$O$16&gt;1000),2.3,IF(AND($J128="Schlauch 13 mm 0,5 Meter",S$19*1000^2/($M$16*($K73/2000)^2*PI())*($K73/1000)/$O$16&gt;1000),2.3,1)))</f>
        <v>2.2999999999999998</v>
      </c>
      <c r="AI169">
        <f>IF(AND($J128="Schlauch 8 mm 0,5 Meter",T$19*1000^2/($M$16*($K73/2000)^2*PI())*($K73/1000)/$O$16&gt;1000),2.3,IF(AND($J128="Schlauch 10 mm 0,5 Meter",T$19*1000^2/($M$16*($K73/2000)^2*PI())*($K73/1000)/$O$16&gt;1000),2.3,IF(AND($J128="Schlauch 13 mm 0,5 Meter",T$19*1000^2/($M$16*($K73/2000)^2*PI())*($K73/1000)/$O$16&gt;1000),2.3,1)))</f>
        <v>2.2999999999999998</v>
      </c>
      <c r="AJ169">
        <f>IF(AND($J128="Schlauch 8 mm 0,5 Meter",U$19*1000^2/($M$16*($K73/2000)^2*PI())*($K73/1000)/$O$16&gt;1000),2.3,IF(AND($J128="Schlauch 10 mm 0,5 Meter",U$19*1000^2/($M$16*($K73/2000)^2*PI())*($K73/1000)/$O$16&gt;1000),2.3,IF(AND($J128="Schlauch 13 mm 0,5 Meter",U$19*1000^2/($M$16*($K73/2000)^2*PI())*($K73/1000)/$O$16&gt;1000),2.3,1)))</f>
        <v>2.2999999999999998</v>
      </c>
      <c r="AK169">
        <f>IF(AND($J128="Schlauch 8 mm 0,5 Meter",V$19*1000^2/($M$16*($K73/2000)^2*PI())*($K73/1000)/$O$16&gt;1000),2.3,IF(AND($J128="Schlauch 10 mm 0,5 Meter",V$19*1000^2/($M$16*($K73/2000)^2*PI())*($K73/1000)/$O$16&gt;1000),2.3,IF(AND($J128="Schlauch 13 mm 0,5 Meter",V$19*1000^2/($M$16*($K73/2000)^2*PI())*($K73/1000)/$O$16&gt;1000),2.3,1)))</f>
        <v>2.2999999999999998</v>
      </c>
      <c r="AL169">
        <f>IF(AND($J128="Schlauch 8 mm 0,5 Meter",W$19*1000^2/($M$16*($K73/2000)^2*PI())*($K73/1000)/$O$16&gt;1000),2.3,IF(AND($J128="Schlauch 10 mm 0,5 Meter",W$19*1000^2/($M$16*($K73/2000)^2*PI())*($K73/1000)/$O$16&gt;1000),2.3,IF(AND($J128="Schlauch 13 mm 0,5 Meter",W$19*1000^2/($M$16*($K73/2000)^2*PI())*($K73/1000)/$O$16&gt;1000),2.3,1)))</f>
        <v>2.2999999999999998</v>
      </c>
      <c r="AM169">
        <f>IF(AND($J128="Schlauch 8 mm 0,5 Meter",X$19*1000^2/($M$16*($K73/2000)^2*PI())*($K73/1000)/$O$16&gt;1000),2.3,IF(AND($J128="Schlauch 10 mm 0,5 Meter",X$19*1000^2/($M$16*($K73/2000)^2*PI())*($K73/1000)/$O$16&gt;1000),2.3,IF(AND($J128="Schlauch 13 mm 0,5 Meter",X$19*1000^2/($M$16*($K73/2000)^2*PI())*($K73/1000)/$O$16&gt;1000),2.3,1)))</f>
        <v>2.2999999999999998</v>
      </c>
      <c r="AN169">
        <f>IF(AND($J128="Schlauch 8 mm 0,5 Meter",Y$19*1000^2/($M$16*($K73/2000)^2*PI())*($K73/1000)/$O$16&gt;1000),2.3,IF(AND($J128="Schlauch 10 mm 0,5 Meter",Y$19*1000^2/($M$16*($K73/2000)^2*PI())*($K73/1000)/$O$16&gt;1000),2.3,IF(AND($J128="Schlauch 13 mm 0,5 Meter",Y$19*1000^2/($M$16*($K73/2000)^2*PI())*($K73/1000)/$O$16&gt;1000),2.3,1)))</f>
        <v>2.2999999999999998</v>
      </c>
      <c r="AQ169">
        <v>146</v>
      </c>
      <c r="AR169" s="14">
        <v>4.382840931103102</v>
      </c>
      <c r="AS169" s="13">
        <f t="shared" si="41"/>
        <v>42905.15247350774</v>
      </c>
      <c r="AT169" s="9">
        <v>3.4153481365493752</v>
      </c>
      <c r="AU169" s="13">
        <f t="shared" si="42"/>
        <v>33434.029400624473</v>
      </c>
    </row>
    <row r="170" spans="1:47" x14ac:dyDescent="0.35">
      <c r="A170">
        <f t="shared" si="37"/>
        <v>147</v>
      </c>
      <c r="B170" s="13">
        <f t="shared" si="38"/>
        <v>42858.390891047369</v>
      </c>
      <c r="F170">
        <f t="shared" si="39"/>
        <v>147</v>
      </c>
      <c r="G170" s="13">
        <f t="shared" si="40"/>
        <v>33409.192149854767</v>
      </c>
      <c r="I170" s="1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AQ170">
        <v>147</v>
      </c>
      <c r="AR170" s="14">
        <v>4.3780641486936469</v>
      </c>
      <c r="AS170" s="13">
        <f t="shared" si="41"/>
        <v>42858.390891047369</v>
      </c>
      <c r="AT170" s="9">
        <v>3.4128109653003804</v>
      </c>
      <c r="AU170" s="13">
        <f t="shared" si="42"/>
        <v>33409.192149854767</v>
      </c>
    </row>
    <row r="171" spans="1:47" x14ac:dyDescent="0.35">
      <c r="A171">
        <f t="shared" si="37"/>
        <v>148</v>
      </c>
      <c r="B171" s="13">
        <f t="shared" si="38"/>
        <v>42811.249224897692</v>
      </c>
      <c r="F171">
        <f t="shared" si="39"/>
        <v>148</v>
      </c>
      <c r="G171" s="13">
        <f t="shared" si="40"/>
        <v>33384.304158727267</v>
      </c>
      <c r="I171" s="1">
        <v>4</v>
      </c>
      <c r="J171" t="s">
        <v>69</v>
      </c>
      <c r="K171">
        <f>K129</f>
        <v>10</v>
      </c>
      <c r="L171" t="s">
        <v>70</v>
      </c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AQ171">
        <v>148</v>
      </c>
      <c r="AR171" s="14">
        <v>4.373248540030124</v>
      </c>
      <c r="AS171" s="13">
        <f t="shared" si="41"/>
        <v>42811.249224897692</v>
      </c>
      <c r="AT171" s="9">
        <v>3.4102686108296929</v>
      </c>
      <c r="AU171" s="13">
        <f t="shared" si="42"/>
        <v>33384.304158727267</v>
      </c>
    </row>
    <row r="172" spans="1:47" x14ac:dyDescent="0.35">
      <c r="A172">
        <f t="shared" si="37"/>
        <v>149</v>
      </c>
      <c r="B172" s="13">
        <f t="shared" si="38"/>
        <v>42763.726985138994</v>
      </c>
      <c r="F172">
        <f t="shared" si="39"/>
        <v>149</v>
      </c>
      <c r="G172" s="13">
        <f t="shared" si="40"/>
        <v>33359.365667477221</v>
      </c>
      <c r="I172" s="1"/>
      <c r="J172" t="s">
        <v>71</v>
      </c>
      <c r="K172">
        <v>130</v>
      </c>
      <c r="L172" t="s">
        <v>70</v>
      </c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AQ172">
        <v>149</v>
      </c>
      <c r="AR172" s="14">
        <v>4.3683940550663261</v>
      </c>
      <c r="AS172" s="13">
        <f t="shared" si="41"/>
        <v>42763.726985138994</v>
      </c>
      <c r="AT172" s="9">
        <v>3.4077210976777899</v>
      </c>
      <c r="AU172" s="13">
        <f t="shared" si="42"/>
        <v>33359.365667477221</v>
      </c>
    </row>
    <row r="173" spans="1:47" x14ac:dyDescent="0.35">
      <c r="A173">
        <f t="shared" si="37"/>
        <v>150</v>
      </c>
      <c r="B173" s="13">
        <f t="shared" si="38"/>
        <v>42715.823684525618</v>
      </c>
      <c r="F173">
        <f t="shared" si="39"/>
        <v>150</v>
      </c>
      <c r="G173" s="13">
        <f t="shared" si="40"/>
        <v>33334.376913596105</v>
      </c>
      <c r="I173" s="1"/>
      <c r="J173" t="s">
        <v>72</v>
      </c>
      <c r="K173">
        <v>60</v>
      </c>
      <c r="L173" t="s">
        <v>73</v>
      </c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AQ173">
        <v>150</v>
      </c>
      <c r="AR173" s="14">
        <v>4.3635006440292043</v>
      </c>
      <c r="AS173" s="13">
        <f t="shared" si="41"/>
        <v>42715.823684525618</v>
      </c>
      <c r="AT173" s="9">
        <v>3.4051684501048665</v>
      </c>
      <c r="AU173" s="13">
        <f t="shared" si="42"/>
        <v>33334.376913596105</v>
      </c>
    </row>
    <row r="174" spans="1:47" x14ac:dyDescent="0.35">
      <c r="A174">
        <f t="shared" si="37"/>
        <v>151</v>
      </c>
      <c r="B174" s="13">
        <f t="shared" si="38"/>
        <v>42667.538838453562</v>
      </c>
      <c r="F174">
        <f t="shared" si="39"/>
        <v>151</v>
      </c>
      <c r="G174" s="13">
        <f t="shared" si="40"/>
        <v>33309.338131881079</v>
      </c>
      <c r="I174" s="1"/>
      <c r="J174" t="s">
        <v>76</v>
      </c>
      <c r="L174" s="4" t="s">
        <v>12</v>
      </c>
      <c r="M174" s="1">
        <v>0</v>
      </c>
      <c r="N174" s="10">
        <f>IF(N$19*1000^2/($M$16*($K171/2000)^2*PI())*($K171/1000)/$O$16&lt;2320,(64*PI()*$K172*($K173/180)*1000*$M$16*(N$19/($M$16*($K171/2000)^2*PI()))^2)/((N$19*1000^2/($M$16*($K171/2000)^2*PI())*($K171/1000)/$O$16)*1000*$K171*2)*AC174*AC175,(0.3164*PI()*$K172*($K173/180)*1000*$M$16*(N$19/($M$16*($K171/2000)^2*PI()))^2)/(((N$19*1000^2/($M$16*($K171/2000)^2*PI())*($K171/1000)/$O$16))^0.25*1000*$K171*2)*AC174*AC175)</f>
        <v>9.7952063154646396</v>
      </c>
      <c r="O174" s="10">
        <f>IF(O$19*1000^2/($M$16*($K171/2000)^2*PI())*($K171/1000)/$O$16&lt;2320,(64*PI()*$K172*($K173/180)*1000*$M$16*(O$19/($M$16*($K171/2000)^2*PI()))^2)/((O$19*1000^2/($M$16*($K171/2000)^2*PI())*($K171/1000)/$O$16)*1000*$K171*2)*AD174*AD175,(0.3164*PI()*$K172*($K173/180)*1000*$M$16*(O$19/($M$16*($K171/2000)^2*PI()))^2)/(((O$19*1000^2/($M$16*($K171/2000)^2*PI())*($K171/1000)/$O$16))^0.25*1000*$K171*2)*AD174*AD175)</f>
        <v>29.746823483628834</v>
      </c>
      <c r="P174" s="10">
        <f>IF(P$19*1000^2/($M$16*($K171/2000)^2*PI())*($K171/1000)/$O$16&lt;2320,(64*PI()*$K172*($K173/180)*1000*$M$16*(P$19/($M$16*($K171/2000)^2*PI()))^2)/((P$19*1000^2/($M$16*($K171/2000)^2*PI())*($K171/1000)/$O$16)*1000*$K171*2)*AE174*AE175,(0.3164*PI()*$K172*($K173/180)*1000*$M$16*(P$19/($M$16*($K171/2000)^2*PI()))^2)/(((P$19*1000^2/($M$16*($K171/2000)^2*PI())*($K171/1000)/$O$16))^0.25*1000*$K171*2)*AE174*AE175)</f>
        <v>55.528894368206586</v>
      </c>
      <c r="Q174" s="10">
        <f>IF(Q$19*1000^2/($M$16*($K171/2000)^2*PI())*($K171/1000)/$O$16&lt;2320,(64*PI()*$K172*($K173/180)*1000*$M$16*(Q$19/($M$16*($K171/2000)^2*PI()))^2)/((Q$19*1000^2/($M$16*($K171/2000)^2*PI())*($K171/1000)/$O$16)*1000*$K171*2)*AF174*AF175,(0.3164*PI()*$K172*($K173/180)*1000*$M$16*(Q$19/($M$16*($K171/2000)^2*PI()))^2)/(((Q$19*1000^2/($M$16*($K171/2000)^2*PI())*($K171/1000)/$O$16))^0.25*1000*$K171*2)*AF174*AF175)</f>
        <v>87.886039305805312</v>
      </c>
      <c r="R174" s="10">
        <f>IF(R$19*1000^2/($M$16*($K171/2000)^2*PI())*($K171/1000)/$O$16&lt;2320,(64*PI()*$K172*($K173/180)*1000*$M$16*(R$19/($M$16*($K171/2000)^2*PI()))^2)/((R$19*1000^2/($M$16*($K171/2000)^2*PI())*($K171/1000)/$O$16)*1000*$K171*2)*AG174*AG175,(0.3164*PI()*$K172*($K173/180)*1000*$M$16*(R$19/($M$16*($K171/2000)^2*PI()))^2)/(((R$19*1000^2/($M$16*($K171/2000)^2*PI())*($K171/1000)/$O$16))^0.25*1000*$K171*2)*AG174*AG175)</f>
        <v>126.39473858202632</v>
      </c>
      <c r="S174" s="10">
        <f>IF(S$19*1000^2/($M$16*($K171/2000)^2*PI())*($K171/1000)/$O$16&lt;2320,(64*PI()*$K172*($K173/180)*1000*$M$16*(S$19/($M$16*($K171/2000)^2*PI()))^2)/((S$19*1000^2/($M$16*($K171/2000)^2*PI())*($K171/1000)/$O$16)*1000*$K171*2)*AH174*AH175,(0.3164*PI()*$K172*($K173/180)*1000*$M$16*(S$19/($M$16*($K171/2000)^2*PI()))^2)/(((S$19*1000^2/($M$16*($K171/2000)^2*PI())*($K171/1000)/$O$16))^0.25*1000*$K171*2)*AH174*AH175)</f>
        <v>170.74100288594522</v>
      </c>
      <c r="T174" s="10">
        <f>IF(T$19*1000^2/($M$16*($K171/2000)^2*PI())*($K171/1000)/$O$16&lt;2320,(64*PI()*$K172*($K173/180)*1000*$M$16*(T$19/($M$16*($K171/2000)^2*PI()))^2)/((T$19*1000^2/($M$16*($K171/2000)^2*PI())*($K171/1000)/$O$16)*1000*$K171*2)*AI174*AI175,(0.3164*PI()*$K172*($K173/180)*1000*$M$16*(T$19/($M$16*($K171/2000)^2*PI()))^2)/(((T$19*1000^2/($M$16*($K171/2000)^2*PI())*($K171/1000)/$O$16))^0.25*1000*$K171*2)*AI174*AI175)</f>
        <v>220.67783663103049</v>
      </c>
      <c r="U174" s="10">
        <f>IF(U$19*1000^2/($M$16*($K171/2000)^2*PI())*($K171/1000)/$O$16&lt;2320,(64*PI()*$K172*($K173/180)*1000*$M$16*(U$19/($M$16*($K171/2000)^2*PI()))^2)/((U$19*1000^2/($M$16*($K171/2000)^2*PI())*($K171/1000)/$O$16)*1000*$K171*2)*AJ174*AJ175,(0.3164*PI()*$K172*($K173/180)*1000*$M$16*(U$19/($M$16*($K171/2000)^2*PI()))^2)/(((U$19*1000^2/($M$16*($K171/2000)^2*PI())*($K171/1000)/$O$16))^0.25*1000*$K171*2)*AJ174*AJ175)</f>
        <v>276.00315182395144</v>
      </c>
      <c r="V174" s="10">
        <f>IF(V$19*1000^2/($M$16*($K171/2000)^2*PI())*($K171/1000)/$O$16&lt;2320,(64*PI()*$K172*($K173/180)*1000*$M$16*(V$19/($M$16*($K171/2000)^2*PI()))^2)/((V$19*1000^2/($M$16*($K171/2000)^2*PI())*($K171/1000)/$O$16)*1000*$K171*2)*AK174*AK175,(0.3164*PI()*$K172*($K173/180)*1000*$M$16*(V$19/($M$16*($K171/2000)^2*PI()))^2)/(((V$19*1000^2/($M$16*($K171/2000)^2*PI())*($K171/1000)/$O$16))^0.25*1000*$K171*2)*AK174*AK175)</f>
        <v>336.54688966453108</v>
      </c>
      <c r="W174" s="10">
        <f>IF(W$19*1000^2/($M$16*($K171/2000)^2*PI())*($K171/1000)/$O$16&lt;2320,(64*PI()*$K172*($K173/180)*1000*$M$16*(W$19/($M$16*($K171/2000)^2*PI()))^2)/((W$19*1000^2/($M$16*($K171/2000)^2*PI())*($K171/1000)/$O$16)*1000*$K171*2)*AL174*AL175,(0.3164*PI()*$K172*($K173/180)*1000*$M$16*(W$19/($M$16*($K171/2000)^2*PI()))^2)/(((W$19*1000^2/($M$16*($K171/2000)^2*PI())*($K171/1000)/$O$16))^0.25*1000*$K171*2)*AL174*AL175)</f>
        <v>402.16288761941684</v>
      </c>
      <c r="X174" s="10">
        <f>IF(X$19*1000^2/($M$16*($K171/2000)^2*PI())*($K171/1000)/$O$16&lt;2320,(64*PI()*$K172*($K173/180)*1000*$M$16*(X$19/($M$16*($K171/2000)^2*PI()))^2)/((X$19*1000^2/($M$16*($K171/2000)^2*PI())*($K171/1000)/$O$16)*1000*$K171*2)*AM174*AM175,(0.3164*PI()*$K172*($K173/180)*1000*$M$16*(X$19/($M$16*($K171/2000)^2*PI()))^2)/(((X$19*1000^2/($M$16*($K171/2000)^2*PI())*($K171/1000)/$O$16))^0.25*1000*$K171*2)*AM174*AM175)</f>
        <v>472.72343329531725</v>
      </c>
      <c r="Y174" s="10">
        <f>IF(Y$19*1000^2/($M$16*($K171/2000)^2*PI())*($K171/1000)/$O$16&lt;2320,(64*PI()*$K172*($K173/180)*1000*$M$16*(Y$19/($M$16*($K171/2000)^2*PI()))^2)/((Y$19*1000^2/($M$16*($K171/2000)^2*PI())*($K171/1000)/$O$16)*1000*$K171*2)*AN174*AN175,(0.3164*PI()*$K172*($K173/180)*1000*$M$16*(Y$19/($M$16*($K171/2000)^2*PI()))^2)/(((Y$19*1000^2/($M$16*($K171/2000)^2*PI())*($K171/1000)/$O$16))^0.25*1000*$K171*2)*AN174*AN175)</f>
        <v>548.11544943565377</v>
      </c>
      <c r="AB174">
        <f>IF($K173=90,48.8278467851456 - 47.806959580207*EXP(-0.277239618115161*($K172/$K171)^-1.54747755889509),IF($K173=75,50.1417823050971 - 49.1135860314465*EXP(-0.301530732764457*($K172/$K171)^-1.54561444953472),IF($K173=60,54.7760811257494 - 53.7540574575869*EXP(-0.304630071575136*($K172/$K171)^-1.55407754771893),IF($K173=45,43.1114956669904 - 42.081470426847*EXP(-0.421774530709856*($K172/$K171)^-1.56548181659313),IF($K173=30,83.6300898181698 - 82.5595081919206*EXP(-0.232275883030308*($K172/$K171)^-1.58789653739729),IF($K173=15,107.103583610419 - 106.022180533241*EXP(-0.173822505110446*($K172/$K171)^-1.54794763569524),))))))</f>
        <v>1.3252743293864455</v>
      </c>
      <c r="AC174">
        <f>IF($K173=90,48.8278467851456 - 47.806959580207*EXP(-0.277239618115161*($K172/$K171)^-1.54747755889509),IF($K173=75,50.1417823050971 - 49.1135860314465*EXP(-0.301530732764457*($K172/$K171)^-1.54561444953472),IF($K173=60,54.7760811257494 - 53.7540574575869*EXP(-0.304630071575136*($K172/$K171)^-1.55407754771893),IF($K173=45,43.1114956669904 - 42.081470426847*EXP(-0.421774530709856*($K172/$K171)^-1.56548181659313),IF($K173=30,83.6300898181698 - 82.5595081919206*EXP(-0.232275883030308*($K172/$K171)^-1.58789653739729),IF($K173=15,107.103583610419 - 106.022180533241*EXP(-0.173822505110446*($K172/$K171)^-1.54794763569524),))))))</f>
        <v>1.3252743293864455</v>
      </c>
      <c r="AD174">
        <f>IF($K173=90,48.8278467851456 - 47.806959580207*EXP(-0.277239618115161*($K172/$K171)^-1.54747755889509),IF($K173=75,50.1417823050971 - 49.1135860314465*EXP(-0.301530732764457*($K172/$K171)^-1.54561444953472),IF($K173=60,54.7760811257494 - 53.7540574575869*EXP(-0.304630071575136*($K172/$K171)^-1.55407754771893),IF($K173=45,43.1114956669904 - 42.081470426847*EXP(-0.421774530709856*($K172/$K171)^-1.56548181659313),IF($K173=30,83.6300898181698 - 82.5595081919206*EXP(-0.232275883030308*($K172/$K171)^-1.58789653739729),IF($K173=15,107.103583610419 - 106.022180533241*EXP(-0.173822505110446*($K172/$K171)^-1.54794763569524),))))))</f>
        <v>1.3252743293864455</v>
      </c>
      <c r="AE174">
        <f>IF($K173=90,48.8278467851456 - 47.806959580207*EXP(-0.277239618115161*($K172/$K171)^-1.54747755889509),IF($K173=75,50.1417823050971 - 49.1135860314465*EXP(-0.301530732764457*($K172/$K171)^-1.54561444953472),IF($K173=60,54.7760811257494 - 53.7540574575869*EXP(-0.304630071575136*($K172/$K171)^-1.55407754771893),IF($K173=45,43.1114956669904 - 42.081470426847*EXP(-0.421774530709856*($K172/$K171)^-1.56548181659313),IF($K173=30,83.6300898181698 - 82.5595081919206*EXP(-0.232275883030308*($K172/$K171)^-1.58789653739729),IF($K173=15,107.103583610419 - 106.022180533241*EXP(-0.173822505110446*($K172/$K171)^-1.54794763569524),))))))</f>
        <v>1.3252743293864455</v>
      </c>
      <c r="AF174">
        <f>IF($K173=90,48.8278467851456 - 47.806959580207*EXP(-0.277239618115161*($K172/$K171)^-1.54747755889509),IF($K173=75,50.1417823050971 - 49.1135860314465*EXP(-0.301530732764457*($K172/$K171)^-1.54561444953472),IF($K173=60,54.7760811257494 - 53.7540574575869*EXP(-0.304630071575136*($K172/$K171)^-1.55407754771893),IF($K173=45,43.1114956669904 - 42.081470426847*EXP(-0.421774530709856*($K172/$K171)^-1.56548181659313),IF($K173=30,83.6300898181698 - 82.5595081919206*EXP(-0.232275883030308*($K172/$K171)^-1.58789653739729),IF($K173=15,107.103583610419 - 106.022180533241*EXP(-0.173822505110446*($K172/$K171)^-1.54794763569524),))))))</f>
        <v>1.3252743293864455</v>
      </c>
      <c r="AG174">
        <f>IF($K173=90,48.8278467851456 - 47.806959580207*EXP(-0.277239618115161*($K172/$K171)^-1.54747755889509),IF($K173=75,50.1417823050971 - 49.1135860314465*EXP(-0.301530732764457*($K172/$K171)^-1.54561444953472),IF($K173=60,54.7760811257494 - 53.7540574575869*EXP(-0.304630071575136*($K172/$K171)^-1.55407754771893),IF($K173=45,43.1114956669904 - 42.081470426847*EXP(-0.421774530709856*($K172/$K171)^-1.56548181659313),IF($K173=30,83.6300898181698 - 82.5595081919206*EXP(-0.232275883030308*($K172/$K171)^-1.58789653739729),IF($K173=15,107.103583610419 - 106.022180533241*EXP(-0.173822505110446*($K172/$K171)^-1.54794763569524),))))))</f>
        <v>1.3252743293864455</v>
      </c>
      <c r="AH174">
        <f>IF($K173=90,48.8278467851456 - 47.806959580207*EXP(-0.277239618115161*($K172/$K171)^-1.54747755889509),IF($K173=75,50.1417823050971 - 49.1135860314465*EXP(-0.301530732764457*($K172/$K171)^-1.54561444953472),IF($K173=60,54.7760811257494 - 53.7540574575869*EXP(-0.304630071575136*($K172/$K171)^-1.55407754771893),IF($K173=45,43.1114956669904 - 42.081470426847*EXP(-0.421774530709856*($K172/$K171)^-1.56548181659313),IF($K173=30,83.6300898181698 - 82.5595081919206*EXP(-0.232275883030308*($K172/$K171)^-1.58789653739729),IF($K173=15,107.103583610419 - 106.022180533241*EXP(-0.173822505110446*($K172/$K171)^-1.54794763569524),))))))</f>
        <v>1.3252743293864455</v>
      </c>
      <c r="AI174">
        <f>IF($K173=90,48.8278467851456 - 47.806959580207*EXP(-0.277239618115161*($K172/$K171)^-1.54747755889509),IF($K173=75,50.1417823050971 - 49.1135860314465*EXP(-0.301530732764457*($K172/$K171)^-1.54561444953472),IF($K173=60,54.7760811257494 - 53.7540574575869*EXP(-0.304630071575136*($K172/$K171)^-1.55407754771893),IF($K173=45,43.1114956669904 - 42.081470426847*EXP(-0.421774530709856*($K172/$K171)^-1.56548181659313),IF($K173=30,83.6300898181698 - 82.5595081919206*EXP(-0.232275883030308*($K172/$K171)^-1.58789653739729),IF($K173=15,107.103583610419 - 106.022180533241*EXP(-0.173822505110446*($K172/$K171)^-1.54794763569524),))))))</f>
        <v>1.3252743293864455</v>
      </c>
      <c r="AJ174">
        <f>IF($K173=90,48.8278467851456 - 47.806959580207*EXP(-0.277239618115161*($K172/$K171)^-1.54747755889509),IF($K173=75,50.1417823050971 - 49.1135860314465*EXP(-0.301530732764457*($K172/$K171)^-1.54561444953472),IF($K173=60,54.7760811257494 - 53.7540574575869*EXP(-0.304630071575136*($K172/$K171)^-1.55407754771893),IF($K173=45,43.1114956669904 - 42.081470426847*EXP(-0.421774530709856*($K172/$K171)^-1.56548181659313),IF($K173=30,83.6300898181698 - 82.5595081919206*EXP(-0.232275883030308*($K172/$K171)^-1.58789653739729),IF($K173=15,107.103583610419 - 106.022180533241*EXP(-0.173822505110446*($K172/$K171)^-1.54794763569524),))))))</f>
        <v>1.3252743293864455</v>
      </c>
      <c r="AK174">
        <f>IF($K173=90,48.8278467851456 - 47.806959580207*EXP(-0.277239618115161*($K172/$K171)^-1.54747755889509),IF($K173=75,50.1417823050971 - 49.1135860314465*EXP(-0.301530732764457*($K172/$K171)^-1.54561444953472),IF($K173=60,54.7760811257494 - 53.7540574575869*EXP(-0.304630071575136*($K172/$K171)^-1.55407754771893),IF($K173=45,43.1114956669904 - 42.081470426847*EXP(-0.421774530709856*($K172/$K171)^-1.56548181659313),IF($K173=30,83.6300898181698 - 82.5595081919206*EXP(-0.232275883030308*($K172/$K171)^-1.58789653739729),IF($K173=15,107.103583610419 - 106.022180533241*EXP(-0.173822505110446*($K172/$K171)^-1.54794763569524),))))))</f>
        <v>1.3252743293864455</v>
      </c>
      <c r="AL174">
        <f>IF($K173=90,48.8278467851456 - 47.806959580207*EXP(-0.277239618115161*($K172/$K171)^-1.54747755889509),IF($K173=75,50.1417823050971 - 49.1135860314465*EXP(-0.301530732764457*($K172/$K171)^-1.54561444953472),IF($K173=60,54.7760811257494 - 53.7540574575869*EXP(-0.304630071575136*($K172/$K171)^-1.55407754771893),IF($K173=45,43.1114956669904 - 42.081470426847*EXP(-0.421774530709856*($K172/$K171)^-1.56548181659313),IF($K173=30,83.6300898181698 - 82.5595081919206*EXP(-0.232275883030308*($K172/$K171)^-1.58789653739729),IF($K173=15,107.103583610419 - 106.022180533241*EXP(-0.173822505110446*($K172/$K171)^-1.54794763569524),))))))</f>
        <v>1.3252743293864455</v>
      </c>
      <c r="AM174">
        <f>IF($K173=90,48.8278467851456 - 47.806959580207*EXP(-0.277239618115161*($K172/$K171)^-1.54747755889509),IF($K173=75,50.1417823050971 - 49.1135860314465*EXP(-0.301530732764457*($K172/$K171)^-1.54561444953472),IF($K173=60,54.7760811257494 - 53.7540574575869*EXP(-0.304630071575136*($K172/$K171)^-1.55407754771893),IF($K173=45,43.1114956669904 - 42.081470426847*EXP(-0.421774530709856*($K172/$K171)^-1.56548181659313),IF($K173=30,83.6300898181698 - 82.5595081919206*EXP(-0.232275883030308*($K172/$K171)^-1.58789653739729),IF($K173=15,107.103583610419 - 106.022180533241*EXP(-0.173822505110446*($K172/$K171)^-1.54794763569524),))))))</f>
        <v>1.3252743293864455</v>
      </c>
      <c r="AN174">
        <f>IF($K173=90,48.8278467851456 - 47.806959580207*EXP(-0.277239618115161*($K172/$K171)^-1.54747755889509),IF($K173=75,50.1417823050971 - 49.1135860314465*EXP(-0.301530732764457*($K172/$K171)^-1.54561444953472),IF($K173=60,54.7760811257494 - 53.7540574575869*EXP(-0.304630071575136*($K172/$K171)^-1.55407754771893),IF($K173=45,43.1114956669904 - 42.081470426847*EXP(-0.421774530709856*($K172/$K171)^-1.56548181659313),IF($K173=30,83.6300898181698 - 82.5595081919206*EXP(-0.232275883030308*($K172/$K171)^-1.58789653739729),IF($K173=15,107.103583610419 - 106.022180533241*EXP(-0.173822505110446*($K172/$K171)^-1.54794763569524),))))))</f>
        <v>1.3252743293864455</v>
      </c>
      <c r="AQ174">
        <v>151</v>
      </c>
      <c r="AR174" s="14">
        <v>4.3585682574155618</v>
      </c>
      <c r="AS174" s="13">
        <f t="shared" si="41"/>
        <v>42667.538838453562</v>
      </c>
      <c r="AT174" s="9">
        <v>3.4026106920958874</v>
      </c>
      <c r="AU174" s="13">
        <f t="shared" si="42"/>
        <v>33309.338131881079</v>
      </c>
    </row>
    <row r="175" spans="1:47" x14ac:dyDescent="0.35">
      <c r="A175">
        <f t="shared" si="37"/>
        <v>152</v>
      </c>
      <c r="B175" s="13">
        <f t="shared" si="38"/>
        <v>42618.87196492868</v>
      </c>
      <c r="F175">
        <f t="shared" si="39"/>
        <v>152</v>
      </c>
      <c r="G175" s="13">
        <f t="shared" si="40"/>
        <v>33284.249554483191</v>
      </c>
      <c r="I175" s="1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AB175">
        <f>IF(AND($J129="Schlauch 8 mm 0,5 Meter",M$19*1000^2/($M$16*($K74/2000)^2*PI())*($K74/1000)/$O$16&gt;1000),2.3,IF(AND($J129="Schlauch 10 mm 0,5 Meter",M$19*1000^2/($M$16*($K74/2000)^2*PI())*($K74/1000)/$O$16&gt;1000),2.3,IF(AND($J129="Schlauch 13 mm 0,5 Meter",M$19*1000^2/($M$16*($K74/2000)^2*PI())*($K74/1000)/$O$16&gt;1000),2.3,1)))</f>
        <v>1</v>
      </c>
      <c r="AC175">
        <f>IF(AND($J129="Schlauch 8 mm 0,5 Meter",N$19*1000^2/($M$16*($K74/2000)^2*PI())*($K74/1000)/$O$16&gt;1000),2.3,IF(AND($J129="Schlauch 10 mm 0,5 Meter",N$19*1000^2/($M$16*($K74/2000)^2*PI())*($K74/1000)/$O$16&gt;1000),2.3,IF(AND($J129="Schlauch 13 mm 0,5 Meter",N$19*1000^2/($M$16*($K74/2000)^2*PI())*($K74/1000)/$O$16&gt;1000),2.3,1)))</f>
        <v>2.2999999999999998</v>
      </c>
      <c r="AD175">
        <f>IF(AND($J129="Schlauch 8 mm 0,5 Meter",O$19*1000^2/($M$16*($K74/2000)^2*PI())*($K74/1000)/$O$16&gt;1000),2.3,IF(AND($J129="Schlauch 10 mm 0,5 Meter",O$19*1000^2/($M$16*($K74/2000)^2*PI())*($K74/1000)/$O$16&gt;1000),2.3,IF(AND($J129="Schlauch 13 mm 0,5 Meter",O$19*1000^2/($M$16*($K74/2000)^2*PI())*($K74/1000)/$O$16&gt;1000),2.3,1)))</f>
        <v>2.2999999999999998</v>
      </c>
      <c r="AE175">
        <f>IF(AND($J129="Schlauch 8 mm 0,5 Meter",P$19*1000^2/($M$16*($K74/2000)^2*PI())*($K74/1000)/$O$16&gt;1000),2.3,IF(AND($J129="Schlauch 10 mm 0,5 Meter",P$19*1000^2/($M$16*($K74/2000)^2*PI())*($K74/1000)/$O$16&gt;1000),2.3,IF(AND($J129="Schlauch 13 mm 0,5 Meter",P$19*1000^2/($M$16*($K74/2000)^2*PI())*($K74/1000)/$O$16&gt;1000),2.3,1)))</f>
        <v>2.2999999999999998</v>
      </c>
      <c r="AF175">
        <f>IF(AND($J129="Schlauch 8 mm 0,5 Meter",Q$19*1000^2/($M$16*($K74/2000)^2*PI())*($K74/1000)/$O$16&gt;1000),2.3,IF(AND($J129="Schlauch 10 mm 0,5 Meter",Q$19*1000^2/($M$16*($K74/2000)^2*PI())*($K74/1000)/$O$16&gt;1000),2.3,IF(AND($J129="Schlauch 13 mm 0,5 Meter",Q$19*1000^2/($M$16*($K74/2000)^2*PI())*($K74/1000)/$O$16&gt;1000),2.3,1)))</f>
        <v>2.2999999999999998</v>
      </c>
      <c r="AG175">
        <f>IF(AND($J129="Schlauch 8 mm 0,5 Meter",R$19*1000^2/($M$16*($K74/2000)^2*PI())*($K74/1000)/$O$16&gt;1000),2.3,IF(AND($J129="Schlauch 10 mm 0,5 Meter",R$19*1000^2/($M$16*($K74/2000)^2*PI())*($K74/1000)/$O$16&gt;1000),2.3,IF(AND($J129="Schlauch 13 mm 0,5 Meter",R$19*1000^2/($M$16*($K74/2000)^2*PI())*($K74/1000)/$O$16&gt;1000),2.3,1)))</f>
        <v>2.2999999999999998</v>
      </c>
      <c r="AH175">
        <f>IF(AND($J129="Schlauch 8 mm 0,5 Meter",S$19*1000^2/($M$16*($K74/2000)^2*PI())*($K74/1000)/$O$16&gt;1000),2.3,IF(AND($J129="Schlauch 10 mm 0,5 Meter",S$19*1000^2/($M$16*($K74/2000)^2*PI())*($K74/1000)/$O$16&gt;1000),2.3,IF(AND($J129="Schlauch 13 mm 0,5 Meter",S$19*1000^2/($M$16*($K74/2000)^2*PI())*($K74/1000)/$O$16&gt;1000),2.3,1)))</f>
        <v>2.2999999999999998</v>
      </c>
      <c r="AI175">
        <f>IF(AND($J129="Schlauch 8 mm 0,5 Meter",T$19*1000^2/($M$16*($K74/2000)^2*PI())*($K74/1000)/$O$16&gt;1000),2.3,IF(AND($J129="Schlauch 10 mm 0,5 Meter",T$19*1000^2/($M$16*($K74/2000)^2*PI())*($K74/1000)/$O$16&gt;1000),2.3,IF(AND($J129="Schlauch 13 mm 0,5 Meter",T$19*1000^2/($M$16*($K74/2000)^2*PI())*($K74/1000)/$O$16&gt;1000),2.3,1)))</f>
        <v>2.2999999999999998</v>
      </c>
      <c r="AJ175">
        <f>IF(AND($J129="Schlauch 8 mm 0,5 Meter",U$19*1000^2/($M$16*($K74/2000)^2*PI())*($K74/1000)/$O$16&gt;1000),2.3,IF(AND($J129="Schlauch 10 mm 0,5 Meter",U$19*1000^2/($M$16*($K74/2000)^2*PI())*($K74/1000)/$O$16&gt;1000),2.3,IF(AND($J129="Schlauch 13 mm 0,5 Meter",U$19*1000^2/($M$16*($K74/2000)^2*PI())*($K74/1000)/$O$16&gt;1000),2.3,1)))</f>
        <v>2.2999999999999998</v>
      </c>
      <c r="AK175">
        <f>IF(AND($J129="Schlauch 8 mm 0,5 Meter",V$19*1000^2/($M$16*($K74/2000)^2*PI())*($K74/1000)/$O$16&gt;1000),2.3,IF(AND($J129="Schlauch 10 mm 0,5 Meter",V$19*1000^2/($M$16*($K74/2000)^2*PI())*($K74/1000)/$O$16&gt;1000),2.3,IF(AND($J129="Schlauch 13 mm 0,5 Meter",V$19*1000^2/($M$16*($K74/2000)^2*PI())*($K74/1000)/$O$16&gt;1000),2.3,1)))</f>
        <v>2.2999999999999998</v>
      </c>
      <c r="AL175">
        <f>IF(AND($J129="Schlauch 8 mm 0,5 Meter",W$19*1000^2/($M$16*($K74/2000)^2*PI())*($K74/1000)/$O$16&gt;1000),2.3,IF(AND($J129="Schlauch 10 mm 0,5 Meter",W$19*1000^2/($M$16*($K74/2000)^2*PI())*($K74/1000)/$O$16&gt;1000),2.3,IF(AND($J129="Schlauch 13 mm 0,5 Meter",W$19*1000^2/($M$16*($K74/2000)^2*PI())*($K74/1000)/$O$16&gt;1000),2.3,1)))</f>
        <v>2.2999999999999998</v>
      </c>
      <c r="AM175">
        <f>IF(AND($J129="Schlauch 8 mm 0,5 Meter",X$19*1000^2/($M$16*($K74/2000)^2*PI())*($K74/1000)/$O$16&gt;1000),2.3,IF(AND($J129="Schlauch 10 mm 0,5 Meter",X$19*1000^2/($M$16*($K74/2000)^2*PI())*($K74/1000)/$O$16&gt;1000),2.3,IF(AND($J129="Schlauch 13 mm 0,5 Meter",X$19*1000^2/($M$16*($K74/2000)^2*PI())*($K74/1000)/$O$16&gt;1000),2.3,1)))</f>
        <v>2.2999999999999998</v>
      </c>
      <c r="AN175">
        <f>IF(AND($J129="Schlauch 8 mm 0,5 Meter",Y$19*1000^2/($M$16*($K74/2000)^2*PI())*($K74/1000)/$O$16&gt;1000),2.3,IF(AND($J129="Schlauch 10 mm 0,5 Meter",Y$19*1000^2/($M$16*($K74/2000)^2*PI())*($K74/1000)/$O$16&gt;1000),2.3,IF(AND($J129="Schlauch 13 mm 0,5 Meter",Y$19*1000^2/($M$16*($K74/2000)^2*PI())*($K74/1000)/$O$16&gt;1000),2.3,1)))</f>
        <v>2.2999999999999998</v>
      </c>
      <c r="AQ175">
        <v>152</v>
      </c>
      <c r="AR175" s="14">
        <v>4.3535968459888021</v>
      </c>
      <c r="AS175" s="13">
        <f t="shared" si="41"/>
        <v>42618.87196492868</v>
      </c>
      <c r="AT175" s="9">
        <v>3.4000478473655136</v>
      </c>
      <c r="AU175" s="13">
        <f t="shared" si="42"/>
        <v>33284.249554483191</v>
      </c>
    </row>
    <row r="176" spans="1:47" x14ac:dyDescent="0.35">
      <c r="A176">
        <f t="shared" si="37"/>
        <v>153</v>
      </c>
      <c r="B176" s="13">
        <f t="shared" si="38"/>
        <v>42569.822584535541</v>
      </c>
      <c r="F176">
        <f t="shared" si="39"/>
        <v>153</v>
      </c>
      <c r="G176" s="13">
        <f t="shared" si="40"/>
        <v>33259.111410954451</v>
      </c>
      <c r="I176" s="1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AQ176">
        <v>153</v>
      </c>
      <c r="AR176" s="14">
        <v>4.3485863607757489</v>
      </c>
      <c r="AS176" s="13">
        <f t="shared" si="41"/>
        <v>42569.822584535541</v>
      </c>
      <c r="AT176" s="9">
        <v>3.3974799393629085</v>
      </c>
      <c r="AU176" s="13">
        <f t="shared" si="42"/>
        <v>33259.111410954451</v>
      </c>
    </row>
    <row r="177" spans="1:47" x14ac:dyDescent="0.35">
      <c r="A177">
        <f t="shared" si="37"/>
        <v>154</v>
      </c>
      <c r="B177" s="13">
        <f t="shared" si="38"/>
        <v>42520.39022040672</v>
      </c>
      <c r="F177">
        <f t="shared" si="39"/>
        <v>154</v>
      </c>
      <c r="G177" s="13">
        <f t="shared" si="40"/>
        <v>33233.923928293712</v>
      </c>
      <c r="I177" s="1">
        <v>5</v>
      </c>
      <c r="J177" t="s">
        <v>69</v>
      </c>
      <c r="K177">
        <f>K130</f>
        <v>10</v>
      </c>
      <c r="L177" t="s">
        <v>70</v>
      </c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AQ177">
        <v>154</v>
      </c>
      <c r="AR177" s="14">
        <v>4.3435367530635105</v>
      </c>
      <c r="AS177" s="13">
        <f t="shared" si="41"/>
        <v>42520.39022040672</v>
      </c>
      <c r="AT177" s="9">
        <v>3.3949069912764265</v>
      </c>
      <c r="AU177" s="13">
        <f t="shared" si="42"/>
        <v>33233.923928293712</v>
      </c>
    </row>
    <row r="178" spans="1:47" x14ac:dyDescent="0.35">
      <c r="A178">
        <f t="shared" si="37"/>
        <v>155</v>
      </c>
      <c r="B178" s="13">
        <f t="shared" si="38"/>
        <v>42470.574398192788</v>
      </c>
      <c r="F178">
        <f t="shared" si="39"/>
        <v>155</v>
      </c>
      <c r="G178" s="13">
        <f t="shared" si="40"/>
        <v>33208.687330991525</v>
      </c>
      <c r="I178" s="1"/>
      <c r="J178" t="s">
        <v>71</v>
      </c>
      <c r="K178">
        <v>100</v>
      </c>
      <c r="L178" t="s">
        <v>70</v>
      </c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AQ178">
        <v>155</v>
      </c>
      <c r="AR178" s="14">
        <v>4.3384479743964119</v>
      </c>
      <c r="AS178" s="13">
        <f t="shared" si="41"/>
        <v>42470.574398192788</v>
      </c>
      <c r="AT178" s="9">
        <v>3.3923290260381935</v>
      </c>
      <c r="AU178" s="13">
        <f t="shared" si="42"/>
        <v>33208.687330991525</v>
      </c>
    </row>
    <row r="179" spans="1:47" x14ac:dyDescent="0.35">
      <c r="A179">
        <f t="shared" si="37"/>
        <v>156</v>
      </c>
      <c r="B179" s="13">
        <f t="shared" si="38"/>
        <v>42420.374646032753</v>
      </c>
      <c r="F179">
        <f t="shared" si="39"/>
        <v>156</v>
      </c>
      <c r="G179" s="13">
        <f t="shared" si="40"/>
        <v>33183.401841073821</v>
      </c>
      <c r="I179" s="1"/>
      <c r="J179" t="s">
        <v>72</v>
      </c>
      <c r="K179">
        <v>90</v>
      </c>
      <c r="L179" t="s">
        <v>73</v>
      </c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AQ179">
        <v>156</v>
      </c>
      <c r="AR179" s="14">
        <v>4.3333199765729784</v>
      </c>
      <c r="AS179" s="13">
        <f t="shared" si="41"/>
        <v>42420.374646032753</v>
      </c>
      <c r="AT179" s="9">
        <v>3.3897460663285703</v>
      </c>
      <c r="AU179" s="13">
        <f t="shared" si="42"/>
        <v>33183.401841073821</v>
      </c>
    </row>
    <row r="180" spans="1:47" x14ac:dyDescent="0.35">
      <c r="A180">
        <f t="shared" si="37"/>
        <v>157</v>
      </c>
      <c r="B180" s="13">
        <f t="shared" si="38"/>
        <v>42369.790494525128</v>
      </c>
      <c r="F180">
        <f t="shared" si="39"/>
        <v>157</v>
      </c>
      <c r="G180" s="13">
        <f t="shared" si="40"/>
        <v>33158.067678144653</v>
      </c>
      <c r="I180" s="1"/>
      <c r="J180" t="s">
        <v>76</v>
      </c>
      <c r="L180" s="4" t="s">
        <v>12</v>
      </c>
      <c r="M180" s="1">
        <v>0</v>
      </c>
      <c r="N180" s="10">
        <f>IF(N$19*1000^2/($M$16*($K177/2000)^2*PI())*($K177/1000)/$O$16&lt;2320,(64*PI()*$K178*($K179/180)*1000*$M$16*(N$19/($M$16*($K177/2000)^2*PI()))^2)/((N$19*1000^2/($M$16*($K177/2000)^2*PI())*($K177/1000)/$O$16)*1000*$K177*2)*AC180*AC181,(0.3164*PI()*$K178*($K179/180)*1000*$M$16*(N$19/($M$16*($K177/2000)^2*PI()))^2)/(((N$19*1000^2/($M$16*($K177/2000)^2*PI())*($K177/1000)/$O$16))^0.25*1000*$K177*2)*AC180*AC181)</f>
        <v>11.897974921284195</v>
      </c>
      <c r="O180" s="10">
        <f>IF(O$19*1000^2/($M$16*($K177/2000)^2*PI())*($K177/1000)/$O$16&lt;2320,(64*PI()*$K178*($K179/180)*1000*$M$16*(O$19/($M$16*($K177/2000)^2*PI()))^2)/((O$19*1000^2/($M$16*($K177/2000)^2*PI())*($K177/1000)/$O$16)*1000*$K177*2)*AD180*AD181,(0.3164*PI()*$K178*($K179/180)*1000*$M$16*(O$19/($M$16*($K177/2000)^2*PI()))^2)/(((O$19*1000^2/($M$16*($K177/2000)^2*PI())*($K177/1000)/$O$16))^0.25*1000*$K177*2)*AD180*AD181)</f>
        <v>36.132670246802761</v>
      </c>
      <c r="P180" s="10">
        <f>IF(P$19*1000^2/($M$16*($K177/2000)^2*PI())*($K177/1000)/$O$16&lt;2320,(64*PI()*$K178*($K179/180)*1000*$M$16*(P$19/($M$16*($K177/2000)^2*PI()))^2)/((P$19*1000^2/($M$16*($K177/2000)^2*PI())*($K177/1000)/$O$16)*1000*$K177*2)*AE180*AE181,(0.3164*PI()*$K178*($K179/180)*1000*$M$16*(P$19/($M$16*($K177/2000)^2*PI()))^2)/(((P$19*1000^2/($M$16*($K177/2000)^2*PI())*($K177/1000)/$O$16))^0.25*1000*$K177*2)*AE180*AE181)</f>
        <v>67.449461636808977</v>
      </c>
      <c r="Q180" s="10">
        <f>IF(Q$19*1000^2/($M$16*($K177/2000)^2*PI())*($K177/1000)/$O$16&lt;2320,(64*PI()*$K178*($K179/180)*1000*$M$16*(Q$19/($M$16*($K177/2000)^2*PI()))^2)/((Q$19*1000^2/($M$16*($K177/2000)^2*PI())*($K177/1000)/$O$16)*1000*$K177*2)*AF180*AF181,(0.3164*PI()*$K178*($K179/180)*1000*$M$16*(Q$19/($M$16*($K177/2000)^2*PI()))^2)/(((Q$19*1000^2/($M$16*($K177/2000)^2*PI())*($K177/1000)/$O$16))^0.25*1000*$K177*2)*AF180*AF181)</f>
        <v>106.75281948278872</v>
      </c>
      <c r="R180" s="10">
        <f>IF(R$19*1000^2/($M$16*($K177/2000)^2*PI())*($K177/1000)/$O$16&lt;2320,(64*PI()*$K178*($K179/180)*1000*$M$16*(R$19/($M$16*($K177/2000)^2*PI()))^2)/((R$19*1000^2/($M$16*($K177/2000)^2*PI())*($K177/1000)/$O$16)*1000*$K177*2)*AG180*AG181,(0.3164*PI()*$K178*($K179/180)*1000*$M$16*(R$19/($M$16*($K177/2000)^2*PI()))^2)/(((R$19*1000^2/($M$16*($K177/2000)^2*PI())*($K177/1000)/$O$16))^0.25*1000*$K177*2)*AG180*AG181)</f>
        <v>153.52830572409292</v>
      </c>
      <c r="S180" s="10">
        <f>IF(S$19*1000^2/($M$16*($K177/2000)^2*PI())*($K177/1000)/$O$16&lt;2320,(64*PI()*$K178*($K179/180)*1000*$M$16*(S$19/($M$16*($K177/2000)^2*PI()))^2)/((S$19*1000^2/($M$16*($K177/2000)^2*PI())*($K177/1000)/$O$16)*1000*$K177*2)*AH180*AH181,(0.3164*PI()*$K178*($K179/180)*1000*$M$16*(S$19/($M$16*($K177/2000)^2*PI()))^2)/(((S$19*1000^2/($M$16*($K177/2000)^2*PI())*($K177/1000)/$O$16))^0.25*1000*$K177*2)*AH180*AH181)</f>
        <v>207.39452594935204</v>
      </c>
      <c r="T180" s="10">
        <f>IF(T$19*1000^2/($M$16*($K177/2000)^2*PI())*($K177/1000)/$O$16&lt;2320,(64*PI()*$K178*($K179/180)*1000*$M$16*(T$19/($M$16*($K177/2000)^2*PI()))^2)/((T$19*1000^2/($M$16*($K177/2000)^2*PI())*($K177/1000)/$O$16)*1000*$K177*2)*AI180*AI181,(0.3164*PI()*$K178*($K179/180)*1000*$M$16*(T$19/($M$16*($K177/2000)^2*PI()))^2)/(((T$19*1000^2/($M$16*($K177/2000)^2*PI())*($K177/1000)/$O$16))^0.25*1000*$K177*2)*AI180*AI181)</f>
        <v>268.05146123098319</v>
      </c>
      <c r="U180" s="10">
        <f>IF(U$19*1000^2/($M$16*($K177/2000)^2*PI())*($K177/1000)/$O$16&lt;2320,(64*PI()*$K178*($K179/180)*1000*$M$16*(U$19/($M$16*($K177/2000)^2*PI()))^2)/((U$19*1000^2/($M$16*($K177/2000)^2*PI())*($K177/1000)/$O$16)*1000*$K177*2)*AJ180*AJ181,(0.3164*PI()*$K178*($K179/180)*1000*$M$16*(U$19/($M$16*($K177/2000)^2*PI()))^2)/(((U$19*1000^2/($M$16*($K177/2000)^2*PI())*($K177/1000)/$O$16))^0.25*1000*$K177*2)*AJ180*AJ181)</f>
        <v>335.25364069281437</v>
      </c>
      <c r="V180" s="10">
        <f>IF(V$19*1000^2/($M$16*($K177/2000)^2*PI())*($K177/1000)/$O$16&lt;2320,(64*PI()*$K178*($K179/180)*1000*$M$16*(V$19/($M$16*($K177/2000)^2*PI()))^2)/((V$19*1000^2/($M$16*($K177/2000)^2*PI())*($K177/1000)/$O$16)*1000*$K177*2)*AK180*AK181,(0.3164*PI()*$K178*($K179/180)*1000*$M$16*(V$19/($M$16*($K177/2000)^2*PI()))^2)/(((V$19*1000^2/($M$16*($K177/2000)^2*PI())*($K177/1000)/$O$16))^0.25*1000*$K177*2)*AK180*AK181)</f>
        <v>408.79449846226629</v>
      </c>
      <c r="W180" s="10">
        <f>IF(W$19*1000^2/($M$16*($K177/2000)^2*PI())*($K177/1000)/$O$16&lt;2320,(64*PI()*$K178*($K179/180)*1000*$M$16*(W$19/($M$16*($K177/2000)^2*PI()))^2)/((W$19*1000^2/($M$16*($K177/2000)^2*PI())*($K177/1000)/$O$16)*1000*$K177*2)*AL180*AL181,(0.3164*PI()*$K178*($K179/180)*1000*$M$16*(W$19/($M$16*($K177/2000)^2*PI()))^2)/(((W$19*1000^2/($M$16*($K177/2000)^2*PI())*($K177/1000)/$O$16))^0.25*1000*$K177*2)*AL180*AL181)</f>
        <v>488.49649482243501</v>
      </c>
      <c r="X180" s="10">
        <f>IF(X$19*1000^2/($M$16*($K177/2000)^2*PI())*($K177/1000)/$O$16&lt;2320,(64*PI()*$K178*($K179/180)*1000*$M$16*(X$19/($M$16*($K177/2000)^2*PI()))^2)/((X$19*1000^2/($M$16*($K177/2000)^2*PI())*($K177/1000)/$O$16)*1000*$K177*2)*AM180*AM181,(0.3164*PI()*$K178*($K179/180)*1000*$M$16*(X$19/($M$16*($K177/2000)^2*PI()))^2)/(((X$19*1000^2/($M$16*($K177/2000)^2*PI())*($K177/1000)/$O$16))^0.25*1000*$K177*2)*AM180*AM181)</f>
        <v>574.20450094769126</v>
      </c>
      <c r="Y180" s="10">
        <f>IF(Y$19*1000^2/($M$16*($K177/2000)^2*PI())*($K177/1000)/$O$16&lt;2320,(64*PI()*$K178*($K179/180)*1000*$M$16*(Y$19/($M$16*($K177/2000)^2*PI()))^2)/((Y$19*1000^2/($M$16*($K177/2000)^2*PI())*($K177/1000)/$O$16)*1000*$K177*2)*AN180*AN181,(0.3164*PI()*$K178*($K179/180)*1000*$M$16*(Y$19/($M$16*($K177/2000)^2*PI()))^2)/(((Y$19*1000^2/($M$16*($K177/2000)^2*PI())*($K177/1000)/$O$16))^0.25*1000*$K177*2)*AN180*AN181)</f>
        <v>665.78116492122876</v>
      </c>
      <c r="AB180">
        <f>IF($K179=90,48.8278467851456 - 47.806959580207*EXP(-0.277239618115161*($K178/$K177)^-1.54747755889509),IF($K179=75,50.1417823050971 - 49.1135860314465*EXP(-0.301530732764457*($K178/$K177)^-1.54561444953472),IF($K179=60,54.7760811257494 - 53.7540574575869*EXP(-0.304630071575136*($K178/$K177)^-1.55407754771893),IF($K179=45,43.1114956669904 - 42.081470426847*EXP(-0.421774530709856*($K178/$K177)^-1.56548181659313),IF($K179=30,83.6300898181698 - 82.5595081919206*EXP(-0.232275883030308*($K178/$K177)^-1.58789653739729),IF($K179=15,107.103583610419 - 106.022180533241*EXP(-0.173822505110446*($K178/$K177)^-1.54794763569524),))))))</f>
        <v>1.3951385535022496</v>
      </c>
      <c r="AC180">
        <f>IF($K179=90,48.8278467851456 - 47.806959580207*EXP(-0.277239618115161*($K178/$K177)^-1.54747755889509),IF($K179=75,50.1417823050971 - 49.1135860314465*EXP(-0.301530732764457*($K178/$K177)^-1.54561444953472),IF($K179=60,54.7760811257494 - 53.7540574575869*EXP(-0.304630071575136*($K178/$K177)^-1.55407754771893),IF($K179=45,43.1114956669904 - 42.081470426847*EXP(-0.421774530709856*($K178/$K177)^-1.56548181659313),IF($K179=30,83.6300898181698 - 82.5595081919206*EXP(-0.232275883030308*($K178/$K177)^-1.58789653739729),IF($K179=15,107.103583610419 - 106.022180533241*EXP(-0.173822505110446*($K178/$K177)^-1.54794763569524),))))))</f>
        <v>1.3951385535022496</v>
      </c>
      <c r="AD180">
        <f>IF($K179=90,48.8278467851456 - 47.806959580207*EXP(-0.277239618115161*($K178/$K177)^-1.54747755889509),IF($K179=75,50.1417823050971 - 49.1135860314465*EXP(-0.301530732764457*($K178/$K177)^-1.54561444953472),IF($K179=60,54.7760811257494 - 53.7540574575869*EXP(-0.304630071575136*($K178/$K177)^-1.55407754771893),IF($K179=45,43.1114956669904 - 42.081470426847*EXP(-0.421774530709856*($K178/$K177)^-1.56548181659313),IF($K179=30,83.6300898181698 - 82.5595081919206*EXP(-0.232275883030308*($K178/$K177)^-1.58789653739729),IF($K179=15,107.103583610419 - 106.022180533241*EXP(-0.173822505110446*($K178/$K177)^-1.54794763569524),))))))</f>
        <v>1.3951385535022496</v>
      </c>
      <c r="AE180">
        <f>IF($K179=90,48.8278467851456 - 47.806959580207*EXP(-0.277239618115161*($K178/$K177)^-1.54747755889509),IF($K179=75,50.1417823050971 - 49.1135860314465*EXP(-0.301530732764457*($K178/$K177)^-1.54561444953472),IF($K179=60,54.7760811257494 - 53.7540574575869*EXP(-0.304630071575136*($K178/$K177)^-1.55407754771893),IF($K179=45,43.1114956669904 - 42.081470426847*EXP(-0.421774530709856*($K178/$K177)^-1.56548181659313),IF($K179=30,83.6300898181698 - 82.5595081919206*EXP(-0.232275883030308*($K178/$K177)^-1.58789653739729),IF($K179=15,107.103583610419 - 106.022180533241*EXP(-0.173822505110446*($K178/$K177)^-1.54794763569524),))))))</f>
        <v>1.3951385535022496</v>
      </c>
      <c r="AF180">
        <f>IF($K179=90,48.8278467851456 - 47.806959580207*EXP(-0.277239618115161*($K178/$K177)^-1.54747755889509),IF($K179=75,50.1417823050971 - 49.1135860314465*EXP(-0.301530732764457*($K178/$K177)^-1.54561444953472),IF($K179=60,54.7760811257494 - 53.7540574575869*EXP(-0.304630071575136*($K178/$K177)^-1.55407754771893),IF($K179=45,43.1114956669904 - 42.081470426847*EXP(-0.421774530709856*($K178/$K177)^-1.56548181659313),IF($K179=30,83.6300898181698 - 82.5595081919206*EXP(-0.232275883030308*($K178/$K177)^-1.58789653739729),IF($K179=15,107.103583610419 - 106.022180533241*EXP(-0.173822505110446*($K178/$K177)^-1.54794763569524),))))))</f>
        <v>1.3951385535022496</v>
      </c>
      <c r="AG180">
        <f>IF($K179=90,48.8278467851456 - 47.806959580207*EXP(-0.277239618115161*($K178/$K177)^-1.54747755889509),IF($K179=75,50.1417823050971 - 49.1135860314465*EXP(-0.301530732764457*($K178/$K177)^-1.54561444953472),IF($K179=60,54.7760811257494 - 53.7540574575869*EXP(-0.304630071575136*($K178/$K177)^-1.55407754771893),IF($K179=45,43.1114956669904 - 42.081470426847*EXP(-0.421774530709856*($K178/$K177)^-1.56548181659313),IF($K179=30,83.6300898181698 - 82.5595081919206*EXP(-0.232275883030308*($K178/$K177)^-1.58789653739729),IF($K179=15,107.103583610419 - 106.022180533241*EXP(-0.173822505110446*($K178/$K177)^-1.54794763569524),))))))</f>
        <v>1.3951385535022496</v>
      </c>
      <c r="AH180">
        <f>IF($K179=90,48.8278467851456 - 47.806959580207*EXP(-0.277239618115161*($K178/$K177)^-1.54747755889509),IF($K179=75,50.1417823050971 - 49.1135860314465*EXP(-0.301530732764457*($K178/$K177)^-1.54561444953472),IF($K179=60,54.7760811257494 - 53.7540574575869*EXP(-0.304630071575136*($K178/$K177)^-1.55407754771893),IF($K179=45,43.1114956669904 - 42.081470426847*EXP(-0.421774530709856*($K178/$K177)^-1.56548181659313),IF($K179=30,83.6300898181698 - 82.5595081919206*EXP(-0.232275883030308*($K178/$K177)^-1.58789653739729),IF($K179=15,107.103583610419 - 106.022180533241*EXP(-0.173822505110446*($K178/$K177)^-1.54794763569524),))))))</f>
        <v>1.3951385535022496</v>
      </c>
      <c r="AI180">
        <f>IF($K179=90,48.8278467851456 - 47.806959580207*EXP(-0.277239618115161*($K178/$K177)^-1.54747755889509),IF($K179=75,50.1417823050971 - 49.1135860314465*EXP(-0.301530732764457*($K178/$K177)^-1.54561444953472),IF($K179=60,54.7760811257494 - 53.7540574575869*EXP(-0.304630071575136*($K178/$K177)^-1.55407754771893),IF($K179=45,43.1114956669904 - 42.081470426847*EXP(-0.421774530709856*($K178/$K177)^-1.56548181659313),IF($K179=30,83.6300898181698 - 82.5595081919206*EXP(-0.232275883030308*($K178/$K177)^-1.58789653739729),IF($K179=15,107.103583610419 - 106.022180533241*EXP(-0.173822505110446*($K178/$K177)^-1.54794763569524),))))))</f>
        <v>1.3951385535022496</v>
      </c>
      <c r="AJ180">
        <f>IF($K179=90,48.8278467851456 - 47.806959580207*EXP(-0.277239618115161*($K178/$K177)^-1.54747755889509),IF($K179=75,50.1417823050971 - 49.1135860314465*EXP(-0.301530732764457*($K178/$K177)^-1.54561444953472),IF($K179=60,54.7760811257494 - 53.7540574575869*EXP(-0.304630071575136*($K178/$K177)^-1.55407754771893),IF($K179=45,43.1114956669904 - 42.081470426847*EXP(-0.421774530709856*($K178/$K177)^-1.56548181659313),IF($K179=30,83.6300898181698 - 82.5595081919206*EXP(-0.232275883030308*($K178/$K177)^-1.58789653739729),IF($K179=15,107.103583610419 - 106.022180533241*EXP(-0.173822505110446*($K178/$K177)^-1.54794763569524),))))))</f>
        <v>1.3951385535022496</v>
      </c>
      <c r="AK180">
        <f>IF($K179=90,48.8278467851456 - 47.806959580207*EXP(-0.277239618115161*($K178/$K177)^-1.54747755889509),IF($K179=75,50.1417823050971 - 49.1135860314465*EXP(-0.301530732764457*($K178/$K177)^-1.54561444953472),IF($K179=60,54.7760811257494 - 53.7540574575869*EXP(-0.304630071575136*($K178/$K177)^-1.55407754771893),IF($K179=45,43.1114956669904 - 42.081470426847*EXP(-0.421774530709856*($K178/$K177)^-1.56548181659313),IF($K179=30,83.6300898181698 - 82.5595081919206*EXP(-0.232275883030308*($K178/$K177)^-1.58789653739729),IF($K179=15,107.103583610419 - 106.022180533241*EXP(-0.173822505110446*($K178/$K177)^-1.54794763569524),))))))</f>
        <v>1.3951385535022496</v>
      </c>
      <c r="AL180">
        <f>IF($K179=90,48.8278467851456 - 47.806959580207*EXP(-0.277239618115161*($K178/$K177)^-1.54747755889509),IF($K179=75,50.1417823050971 - 49.1135860314465*EXP(-0.301530732764457*($K178/$K177)^-1.54561444953472),IF($K179=60,54.7760811257494 - 53.7540574575869*EXP(-0.304630071575136*($K178/$K177)^-1.55407754771893),IF($K179=45,43.1114956669904 - 42.081470426847*EXP(-0.421774530709856*($K178/$K177)^-1.56548181659313),IF($K179=30,83.6300898181698 - 82.5595081919206*EXP(-0.232275883030308*($K178/$K177)^-1.58789653739729),IF($K179=15,107.103583610419 - 106.022180533241*EXP(-0.173822505110446*($K178/$K177)^-1.54794763569524),))))))</f>
        <v>1.3951385535022496</v>
      </c>
      <c r="AM180">
        <f>IF($K179=90,48.8278467851456 - 47.806959580207*EXP(-0.277239618115161*($K178/$K177)^-1.54747755889509),IF($K179=75,50.1417823050971 - 49.1135860314465*EXP(-0.301530732764457*($K178/$K177)^-1.54561444953472),IF($K179=60,54.7760811257494 - 53.7540574575869*EXP(-0.304630071575136*($K178/$K177)^-1.55407754771893),IF($K179=45,43.1114956669904 - 42.081470426847*EXP(-0.421774530709856*($K178/$K177)^-1.56548181659313),IF($K179=30,83.6300898181698 - 82.5595081919206*EXP(-0.232275883030308*($K178/$K177)^-1.58789653739729),IF($K179=15,107.103583610419 - 106.022180533241*EXP(-0.173822505110446*($K178/$K177)^-1.54794763569524),))))))</f>
        <v>1.3951385535022496</v>
      </c>
      <c r="AN180">
        <f>IF($K179=90,48.8278467851456 - 47.806959580207*EXP(-0.277239618115161*($K178/$K177)^-1.54747755889509),IF($K179=75,50.1417823050971 - 49.1135860314465*EXP(-0.301530732764457*($K178/$K177)^-1.54561444953472),IF($K179=60,54.7760811257494 - 53.7540574575869*EXP(-0.304630071575136*($K178/$K177)^-1.55407754771893),IF($K179=45,43.1114956669904 - 42.081470426847*EXP(-0.421774530709856*($K178/$K177)^-1.56548181659313),IF($K179=30,83.6300898181698 - 82.5595081919206*EXP(-0.232275883030308*($K178/$K177)^-1.58789653739729),IF($K179=15,107.103583610419 - 106.022180533241*EXP(-0.173822505110446*($K178/$K177)^-1.54794763569524),))))))</f>
        <v>1.3951385535022496</v>
      </c>
      <c r="AQ180">
        <v>157</v>
      </c>
      <c r="AR180" s="14">
        <v>4.3281527116429768</v>
      </c>
      <c r="AS180" s="13">
        <f t="shared" si="41"/>
        <v>42369.790494525128</v>
      </c>
      <c r="AT180" s="9">
        <v>3.3871581345805191</v>
      </c>
      <c r="AU180" s="13">
        <f t="shared" si="42"/>
        <v>33158.067678144653</v>
      </c>
    </row>
    <row r="181" spans="1:47" x14ac:dyDescent="0.35">
      <c r="A181">
        <f t="shared" si="37"/>
        <v>158</v>
      </c>
      <c r="B181" s="13">
        <f t="shared" si="38"/>
        <v>42318.821476699421</v>
      </c>
      <c r="F181">
        <f t="shared" si="39"/>
        <v>158</v>
      </c>
      <c r="G181" s="13">
        <f t="shared" si="40"/>
        <v>33132.685059427873</v>
      </c>
      <c r="I181" s="1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AB181">
        <f>IF(AND($J130="Schlauch 8 mm 0,5 Meter",M$19*1000^2/($M$16*($K75/2000)^2*PI())*($K75/1000)/$O$16&gt;1000),2.3,IF(AND($J130="Schlauch 10 mm 0,5 Meter",M$19*1000^2/($M$16*($K75/2000)^2*PI())*($K75/1000)/$O$16&gt;1000),2.3,IF(AND($J130="Schlauch 13 mm 0,5 Meter",M$19*1000^2/($M$16*($K75/2000)^2*PI())*($K75/1000)/$O$16&gt;1000),2.3,1)))</f>
        <v>1</v>
      </c>
      <c r="AC181">
        <f>IF(AND($J130="Schlauch 8 mm 0,5 Meter",N$19*1000^2/($M$16*($K75/2000)^2*PI())*($K75/1000)/$O$16&gt;1000),2.3,IF(AND($J130="Schlauch 10 mm 0,5 Meter",N$19*1000^2/($M$16*($K75/2000)^2*PI())*($K75/1000)/$O$16&gt;1000),2.3,IF(AND($J130="Schlauch 13 mm 0,5 Meter",N$19*1000^2/($M$16*($K75/2000)^2*PI())*($K75/1000)/$O$16&gt;1000),2.3,1)))</f>
        <v>2.2999999999999998</v>
      </c>
      <c r="AD181">
        <f>IF(AND($J130="Schlauch 8 mm 0,5 Meter",O$19*1000^2/($M$16*($K75/2000)^2*PI())*($K75/1000)/$O$16&gt;1000),2.3,IF(AND($J130="Schlauch 10 mm 0,5 Meter",O$19*1000^2/($M$16*($K75/2000)^2*PI())*($K75/1000)/$O$16&gt;1000),2.3,IF(AND($J130="Schlauch 13 mm 0,5 Meter",O$19*1000^2/($M$16*($K75/2000)^2*PI())*($K75/1000)/$O$16&gt;1000),2.3,1)))</f>
        <v>2.2999999999999998</v>
      </c>
      <c r="AE181">
        <f>IF(AND($J130="Schlauch 8 mm 0,5 Meter",P$19*1000^2/($M$16*($K75/2000)^2*PI())*($K75/1000)/$O$16&gt;1000),2.3,IF(AND($J130="Schlauch 10 mm 0,5 Meter",P$19*1000^2/($M$16*($K75/2000)^2*PI())*($K75/1000)/$O$16&gt;1000),2.3,IF(AND($J130="Schlauch 13 mm 0,5 Meter",P$19*1000^2/($M$16*($K75/2000)^2*PI())*($K75/1000)/$O$16&gt;1000),2.3,1)))</f>
        <v>2.2999999999999998</v>
      </c>
      <c r="AF181">
        <f>IF(AND($J130="Schlauch 8 mm 0,5 Meter",Q$19*1000^2/($M$16*($K75/2000)^2*PI())*($K75/1000)/$O$16&gt;1000),2.3,IF(AND($J130="Schlauch 10 mm 0,5 Meter",Q$19*1000^2/($M$16*($K75/2000)^2*PI())*($K75/1000)/$O$16&gt;1000),2.3,IF(AND($J130="Schlauch 13 mm 0,5 Meter",Q$19*1000^2/($M$16*($K75/2000)^2*PI())*($K75/1000)/$O$16&gt;1000),2.3,1)))</f>
        <v>2.2999999999999998</v>
      </c>
      <c r="AG181">
        <f>IF(AND($J130="Schlauch 8 mm 0,5 Meter",R$19*1000^2/($M$16*($K75/2000)^2*PI())*($K75/1000)/$O$16&gt;1000),2.3,IF(AND($J130="Schlauch 10 mm 0,5 Meter",R$19*1000^2/($M$16*($K75/2000)^2*PI())*($K75/1000)/$O$16&gt;1000),2.3,IF(AND($J130="Schlauch 13 mm 0,5 Meter",R$19*1000^2/($M$16*($K75/2000)^2*PI())*($K75/1000)/$O$16&gt;1000),2.3,1)))</f>
        <v>2.2999999999999998</v>
      </c>
      <c r="AH181">
        <f>IF(AND($J130="Schlauch 8 mm 0,5 Meter",S$19*1000^2/($M$16*($K75/2000)^2*PI())*($K75/1000)/$O$16&gt;1000),2.3,IF(AND($J130="Schlauch 10 mm 0,5 Meter",S$19*1000^2/($M$16*($K75/2000)^2*PI())*($K75/1000)/$O$16&gt;1000),2.3,IF(AND($J130="Schlauch 13 mm 0,5 Meter",S$19*1000^2/($M$16*($K75/2000)^2*PI())*($K75/1000)/$O$16&gt;1000),2.3,1)))</f>
        <v>2.2999999999999998</v>
      </c>
      <c r="AI181">
        <f>IF(AND($J130="Schlauch 8 mm 0,5 Meter",T$19*1000^2/($M$16*($K75/2000)^2*PI())*($K75/1000)/$O$16&gt;1000),2.3,IF(AND($J130="Schlauch 10 mm 0,5 Meter",T$19*1000^2/($M$16*($K75/2000)^2*PI())*($K75/1000)/$O$16&gt;1000),2.3,IF(AND($J130="Schlauch 13 mm 0,5 Meter",T$19*1000^2/($M$16*($K75/2000)^2*PI())*($K75/1000)/$O$16&gt;1000),2.3,1)))</f>
        <v>2.2999999999999998</v>
      </c>
      <c r="AJ181">
        <f>IF(AND($J130="Schlauch 8 mm 0,5 Meter",U$19*1000^2/($M$16*($K75/2000)^2*PI())*($K75/1000)/$O$16&gt;1000),2.3,IF(AND($J130="Schlauch 10 mm 0,5 Meter",U$19*1000^2/($M$16*($K75/2000)^2*PI())*($K75/1000)/$O$16&gt;1000),2.3,IF(AND($J130="Schlauch 13 mm 0,5 Meter",U$19*1000^2/($M$16*($K75/2000)^2*PI())*($K75/1000)/$O$16&gt;1000),2.3,1)))</f>
        <v>2.2999999999999998</v>
      </c>
      <c r="AK181">
        <f>IF(AND($J130="Schlauch 8 mm 0,5 Meter",V$19*1000^2/($M$16*($K75/2000)^2*PI())*($K75/1000)/$O$16&gt;1000),2.3,IF(AND($J130="Schlauch 10 mm 0,5 Meter",V$19*1000^2/($M$16*($K75/2000)^2*PI())*($K75/1000)/$O$16&gt;1000),2.3,IF(AND($J130="Schlauch 13 mm 0,5 Meter",V$19*1000^2/($M$16*($K75/2000)^2*PI())*($K75/1000)/$O$16&gt;1000),2.3,1)))</f>
        <v>2.2999999999999998</v>
      </c>
      <c r="AL181">
        <f>IF(AND($J130="Schlauch 8 mm 0,5 Meter",W$19*1000^2/($M$16*($K75/2000)^2*PI())*($K75/1000)/$O$16&gt;1000),2.3,IF(AND($J130="Schlauch 10 mm 0,5 Meter",W$19*1000^2/($M$16*($K75/2000)^2*PI())*($K75/1000)/$O$16&gt;1000),2.3,IF(AND($J130="Schlauch 13 mm 0,5 Meter",W$19*1000^2/($M$16*($K75/2000)^2*PI())*($K75/1000)/$O$16&gt;1000),2.3,1)))</f>
        <v>2.2999999999999998</v>
      </c>
      <c r="AM181">
        <f>IF(AND($J130="Schlauch 8 mm 0,5 Meter",X$19*1000^2/($M$16*($K75/2000)^2*PI())*($K75/1000)/$O$16&gt;1000),2.3,IF(AND($J130="Schlauch 10 mm 0,5 Meter",X$19*1000^2/($M$16*($K75/2000)^2*PI())*($K75/1000)/$O$16&gt;1000),2.3,IF(AND($J130="Schlauch 13 mm 0,5 Meter",X$19*1000^2/($M$16*($K75/2000)^2*PI())*($K75/1000)/$O$16&gt;1000),2.3,1)))</f>
        <v>2.2999999999999998</v>
      </c>
      <c r="AN181">
        <f>IF(AND($J130="Schlauch 8 mm 0,5 Meter",Y$19*1000^2/($M$16*($K75/2000)^2*PI())*($K75/1000)/$O$16&gt;1000),2.3,IF(AND($J130="Schlauch 10 mm 0,5 Meter",Y$19*1000^2/($M$16*($K75/2000)^2*PI())*($K75/1000)/$O$16&gt;1000),2.3,IF(AND($J130="Schlauch 13 mm 0,5 Meter",Y$19*1000^2/($M$16*($K75/2000)^2*PI())*($K75/1000)/$O$16&gt;1000),2.3,1)))</f>
        <v>2.2999999999999998</v>
      </c>
      <c r="AQ181">
        <v>158</v>
      </c>
      <c r="AR181" s="14">
        <v>4.3229461319045051</v>
      </c>
      <c r="AS181" s="13">
        <f t="shared" si="41"/>
        <v>42318.821476699421</v>
      </c>
      <c r="AT181" s="9">
        <v>3.3845652529838581</v>
      </c>
      <c r="AU181" s="13">
        <f t="shared" si="42"/>
        <v>33132.685059427873</v>
      </c>
    </row>
    <row r="182" spans="1:47" x14ac:dyDescent="0.35">
      <c r="A182">
        <f t="shared" si="37"/>
        <v>159</v>
      </c>
      <c r="B182" s="13">
        <f t="shared" si="38"/>
        <v>42267.467127988224</v>
      </c>
      <c r="F182">
        <f t="shared" si="39"/>
        <v>159</v>
      </c>
      <c r="G182" s="13">
        <f t="shared" si="40"/>
        <v>33107.254199807838</v>
      </c>
      <c r="I182" s="1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AQ182">
        <v>159</v>
      </c>
      <c r="AR182" s="14">
        <v>4.3177001899011387</v>
      </c>
      <c r="AS182" s="13">
        <f t="shared" si="41"/>
        <v>42267.467127988224</v>
      </c>
      <c r="AT182" s="9">
        <v>3.3819674434894234</v>
      </c>
      <c r="AU182" s="13">
        <f t="shared" si="42"/>
        <v>33107.254199807838</v>
      </c>
    </row>
    <row r="183" spans="1:47" x14ac:dyDescent="0.35">
      <c r="A183">
        <f t="shared" si="37"/>
        <v>160</v>
      </c>
      <c r="B183" s="13">
        <f t="shared" si="38"/>
        <v>42215.726986199712</v>
      </c>
      <c r="F183">
        <f t="shared" si="39"/>
        <v>160</v>
      </c>
      <c r="G183" s="13">
        <f t="shared" si="40"/>
        <v>33081.775311869169</v>
      </c>
      <c r="I183" s="1">
        <v>6</v>
      </c>
      <c r="J183" t="s">
        <v>69</v>
      </c>
      <c r="K183">
        <f>K131</f>
        <v>10</v>
      </c>
      <c r="L183" t="s">
        <v>70</v>
      </c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AQ183">
        <v>160</v>
      </c>
      <c r="AR183" s="14">
        <v>4.3124148384191274</v>
      </c>
      <c r="AS183" s="13">
        <f t="shared" si="41"/>
        <v>42215.726986199712</v>
      </c>
      <c r="AT183" s="9">
        <v>3.3793647278131296</v>
      </c>
      <c r="AU183" s="13">
        <f t="shared" si="42"/>
        <v>33081.775311869169</v>
      </c>
    </row>
    <row r="184" spans="1:47" x14ac:dyDescent="0.35">
      <c r="A184">
        <f t="shared" si="37"/>
        <v>161</v>
      </c>
      <c r="B184" s="13">
        <f t="shared" si="38"/>
        <v>42163.600591490649</v>
      </c>
      <c r="F184">
        <f t="shared" si="39"/>
        <v>161</v>
      </c>
      <c r="G184" s="13">
        <f t="shared" si="40"/>
        <v>33056.248605935638</v>
      </c>
      <c r="I184" s="1"/>
      <c r="J184" t="s">
        <v>71</v>
      </c>
      <c r="K184">
        <v>100</v>
      </c>
      <c r="L184" t="s">
        <v>70</v>
      </c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AQ184">
        <v>161</v>
      </c>
      <c r="AR184" s="14">
        <v>4.3070900304846313</v>
      </c>
      <c r="AS184" s="13">
        <f t="shared" si="41"/>
        <v>42163.600591490649</v>
      </c>
      <c r="AT184" s="9">
        <v>3.3767571274399391</v>
      </c>
      <c r="AU184" s="13">
        <f t="shared" si="42"/>
        <v>33056.248605935638</v>
      </c>
    </row>
    <row r="185" spans="1:47" x14ac:dyDescent="0.35">
      <c r="A185">
        <f t="shared" si="37"/>
        <v>162</v>
      </c>
      <c r="B185" s="13">
        <f t="shared" si="38"/>
        <v>42111.087486339995</v>
      </c>
      <c r="F185">
        <f t="shared" si="39"/>
        <v>162</v>
      </c>
      <c r="G185" s="13">
        <f t="shared" si="40"/>
        <v>33030.67429010808</v>
      </c>
      <c r="I185" s="1"/>
      <c r="J185" t="s">
        <v>72</v>
      </c>
      <c r="K185">
        <v>90</v>
      </c>
      <c r="L185" t="s">
        <v>73</v>
      </c>
      <c r="M185" s="1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AQ185">
        <v>162</v>
      </c>
      <c r="AR185" s="14">
        <v>4.3017257193610261</v>
      </c>
      <c r="AS185" s="13">
        <f t="shared" si="41"/>
        <v>42111.087486339995</v>
      </c>
      <c r="AT185" s="9">
        <v>3.3741446636277383</v>
      </c>
      <c r="AU185" s="13">
        <f t="shared" si="42"/>
        <v>33030.67429010808</v>
      </c>
    </row>
    <row r="186" spans="1:47" x14ac:dyDescent="0.35">
      <c r="A186">
        <f t="shared" si="37"/>
        <v>163</v>
      </c>
      <c r="B186" s="13">
        <f t="shared" si="38"/>
        <v>42058.187215522732</v>
      </c>
      <c r="F186">
        <f t="shared" si="39"/>
        <v>163</v>
      </c>
      <c r="G186" s="13">
        <f t="shared" si="40"/>
        <v>33005.052570301465</v>
      </c>
      <c r="I186" s="1"/>
      <c r="J186" t="s">
        <v>76</v>
      </c>
      <c r="L186" s="4" t="s">
        <v>12</v>
      </c>
      <c r="M186" s="1">
        <v>0</v>
      </c>
      <c r="N186" s="10">
        <f>IF(N$19*1000^2/($M$16*($K183/2000)^2*PI())*($K183/1000)/$O$16&lt;2320,(64*PI()*$K184*($K185/180)*1000*$M$16*(N$19/($M$16*($K183/2000)^2*PI()))^2)/((N$19*1000^2/($M$16*($K183/2000)^2*PI())*($K183/1000)/$O$16)*1000*$K183*2)*AC186*AC187,(0.3164*PI()*$K184*($K185/180)*1000*$M$16*(N$19/($M$16*($K183/2000)^2*PI()))^2)/(((N$19*1000^2/($M$16*($K183/2000)^2*PI())*($K183/1000)/$O$16))^0.25*1000*$K183*2)*AC186*AC187)</f>
        <v>11.897974921284195</v>
      </c>
      <c r="O186" s="10">
        <f>IF(O$19*1000^2/($M$16*($K183/2000)^2*PI())*($K183/1000)/$O$16&lt;2320,(64*PI()*$K184*($K185/180)*1000*$M$16*(O$19/($M$16*($K183/2000)^2*PI()))^2)/((O$19*1000^2/($M$16*($K183/2000)^2*PI())*($K183/1000)/$O$16)*1000*$K183*2)*AD186*AD187,(0.3164*PI()*$K184*($K185/180)*1000*$M$16*(O$19/($M$16*($K183/2000)^2*PI()))^2)/(((O$19*1000^2/($M$16*($K183/2000)^2*PI())*($K183/1000)/$O$16))^0.25*1000*$K183*2)*AD186*AD187)</f>
        <v>36.132670246802761</v>
      </c>
      <c r="P186" s="10">
        <f>IF(P$19*1000^2/($M$16*($K183/2000)^2*PI())*($K183/1000)/$O$16&lt;2320,(64*PI()*$K184*($K185/180)*1000*$M$16*(P$19/($M$16*($K183/2000)^2*PI()))^2)/((P$19*1000^2/($M$16*($K183/2000)^2*PI())*($K183/1000)/$O$16)*1000*$K183*2)*AE186*AE187,(0.3164*PI()*$K184*($K185/180)*1000*$M$16*(P$19/($M$16*($K183/2000)^2*PI()))^2)/(((P$19*1000^2/($M$16*($K183/2000)^2*PI())*($K183/1000)/$O$16))^0.25*1000*$K183*2)*AE186*AE187)</f>
        <v>67.449461636808977</v>
      </c>
      <c r="Q186" s="10">
        <f>IF(Q$19*1000^2/($M$16*($K183/2000)^2*PI())*($K183/1000)/$O$16&lt;2320,(64*PI()*$K184*($K185/180)*1000*$M$16*(Q$19/($M$16*($K183/2000)^2*PI()))^2)/((Q$19*1000^2/($M$16*($K183/2000)^2*PI())*($K183/1000)/$O$16)*1000*$K183*2)*AF186*AF187,(0.3164*PI()*$K184*($K185/180)*1000*$M$16*(Q$19/($M$16*($K183/2000)^2*PI()))^2)/(((Q$19*1000^2/($M$16*($K183/2000)^2*PI())*($K183/1000)/$O$16))^0.25*1000*$K183*2)*AF186*AF187)</f>
        <v>106.75281948278872</v>
      </c>
      <c r="R186" s="10">
        <f>IF(R$19*1000^2/($M$16*($K183/2000)^2*PI())*($K183/1000)/$O$16&lt;2320,(64*PI()*$K184*($K185/180)*1000*$M$16*(R$19/($M$16*($K183/2000)^2*PI()))^2)/((R$19*1000^2/($M$16*($K183/2000)^2*PI())*($K183/1000)/$O$16)*1000*$K183*2)*AG186*AG187,(0.3164*PI()*$K184*($K185/180)*1000*$M$16*(R$19/($M$16*($K183/2000)^2*PI()))^2)/(((R$19*1000^2/($M$16*($K183/2000)^2*PI())*($K183/1000)/$O$16))^0.25*1000*$K183*2)*AG186*AG187)</f>
        <v>153.52830572409292</v>
      </c>
      <c r="S186" s="10">
        <f>IF(S$19*1000^2/($M$16*($K183/2000)^2*PI())*($K183/1000)/$O$16&lt;2320,(64*PI()*$K184*($K185/180)*1000*$M$16*(S$19/($M$16*($K183/2000)^2*PI()))^2)/((S$19*1000^2/($M$16*($K183/2000)^2*PI())*($K183/1000)/$O$16)*1000*$K183*2)*AH186*AH187,(0.3164*PI()*$K184*($K185/180)*1000*$M$16*(S$19/($M$16*($K183/2000)^2*PI()))^2)/(((S$19*1000^2/($M$16*($K183/2000)^2*PI())*($K183/1000)/$O$16))^0.25*1000*$K183*2)*AH186*AH187)</f>
        <v>207.39452594935204</v>
      </c>
      <c r="T186" s="10">
        <f>IF(T$19*1000^2/($M$16*($K183/2000)^2*PI())*($K183/1000)/$O$16&lt;2320,(64*PI()*$K184*($K185/180)*1000*$M$16*(T$19/($M$16*($K183/2000)^2*PI()))^2)/((T$19*1000^2/($M$16*($K183/2000)^2*PI())*($K183/1000)/$O$16)*1000*$K183*2)*AI186*AI187,(0.3164*PI()*$K184*($K185/180)*1000*$M$16*(T$19/($M$16*($K183/2000)^2*PI()))^2)/(((T$19*1000^2/($M$16*($K183/2000)^2*PI())*($K183/1000)/$O$16))^0.25*1000*$K183*2)*AI186*AI187)</f>
        <v>268.05146123098319</v>
      </c>
      <c r="U186" s="10">
        <f>IF(U$19*1000^2/($M$16*($K183/2000)^2*PI())*($K183/1000)/$O$16&lt;2320,(64*PI()*$K184*($K185/180)*1000*$M$16*(U$19/($M$16*($K183/2000)^2*PI()))^2)/((U$19*1000^2/($M$16*($K183/2000)^2*PI())*($K183/1000)/$O$16)*1000*$K183*2)*AJ186*AJ187,(0.3164*PI()*$K184*($K185/180)*1000*$M$16*(U$19/($M$16*($K183/2000)^2*PI()))^2)/(((U$19*1000^2/($M$16*($K183/2000)^2*PI())*($K183/1000)/$O$16))^0.25*1000*$K183*2)*AJ186*AJ187)</f>
        <v>335.25364069281437</v>
      </c>
      <c r="V186" s="10">
        <f>IF(V$19*1000^2/($M$16*($K183/2000)^2*PI())*($K183/1000)/$O$16&lt;2320,(64*PI()*$K184*($K185/180)*1000*$M$16*(V$19/($M$16*($K183/2000)^2*PI()))^2)/((V$19*1000^2/($M$16*($K183/2000)^2*PI())*($K183/1000)/$O$16)*1000*$K183*2)*AK186*AK187,(0.3164*PI()*$K184*($K185/180)*1000*$M$16*(V$19/($M$16*($K183/2000)^2*PI()))^2)/(((V$19*1000^2/($M$16*($K183/2000)^2*PI())*($K183/1000)/$O$16))^0.25*1000*$K183*2)*AK186*AK187)</f>
        <v>408.79449846226629</v>
      </c>
      <c r="W186" s="10">
        <f>IF(W$19*1000^2/($M$16*($K183/2000)^2*PI())*($K183/1000)/$O$16&lt;2320,(64*PI()*$K184*($K185/180)*1000*$M$16*(W$19/($M$16*($K183/2000)^2*PI()))^2)/((W$19*1000^2/($M$16*($K183/2000)^2*PI())*($K183/1000)/$O$16)*1000*$K183*2)*AL186*AL187,(0.3164*PI()*$K184*($K185/180)*1000*$M$16*(W$19/($M$16*($K183/2000)^2*PI()))^2)/(((W$19*1000^2/($M$16*($K183/2000)^2*PI())*($K183/1000)/$O$16))^0.25*1000*$K183*2)*AL186*AL187)</f>
        <v>488.49649482243501</v>
      </c>
      <c r="X186" s="10">
        <f>IF(X$19*1000^2/($M$16*($K183/2000)^2*PI())*($K183/1000)/$O$16&lt;2320,(64*PI()*$K184*($K185/180)*1000*$M$16*(X$19/($M$16*($K183/2000)^2*PI()))^2)/((X$19*1000^2/($M$16*($K183/2000)^2*PI())*($K183/1000)/$O$16)*1000*$K183*2)*AM186*AM187,(0.3164*PI()*$K184*($K185/180)*1000*$M$16*(X$19/($M$16*($K183/2000)^2*PI()))^2)/(((X$19*1000^2/($M$16*($K183/2000)^2*PI())*($K183/1000)/$O$16))^0.25*1000*$K183*2)*AM186*AM187)</f>
        <v>574.20450094769126</v>
      </c>
      <c r="Y186" s="10">
        <f>IF(Y$19*1000^2/($M$16*($K183/2000)^2*PI())*($K183/1000)/$O$16&lt;2320,(64*PI()*$K184*($K185/180)*1000*$M$16*(Y$19/($M$16*($K183/2000)^2*PI()))^2)/((Y$19*1000^2/($M$16*($K183/2000)^2*PI())*($K183/1000)/$O$16)*1000*$K183*2)*AN186*AN187,(0.3164*PI()*$K184*($K185/180)*1000*$M$16*(Y$19/($M$16*($K183/2000)^2*PI()))^2)/(((Y$19*1000^2/($M$16*($K183/2000)^2*PI())*($K183/1000)/$O$16))^0.25*1000*$K183*2)*AN186*AN187)</f>
        <v>665.78116492122876</v>
      </c>
      <c r="AB186">
        <f>IF($K185=90,48.8278467851456 - 47.806959580207*EXP(-0.277239618115161*($K184/$K183)^-1.54747755889509),IF($K185=75,50.1417823050971 - 49.1135860314465*EXP(-0.301530732764457*($K184/$K183)^-1.54561444953472),IF($K185=60,54.7760811257494 - 53.7540574575869*EXP(-0.304630071575136*($K184/$K183)^-1.55407754771893),IF($K185=45,43.1114956669904 - 42.081470426847*EXP(-0.421774530709856*($K184/$K183)^-1.56548181659313),IF($K185=30,83.6300898181698 - 82.5595081919206*EXP(-0.232275883030308*($K184/$K183)^-1.58789653739729),IF($K185=15,107.103583610419 - 106.022180533241*EXP(-0.173822505110446*($K184/$K183)^-1.54794763569524),))))))</f>
        <v>1.3951385535022496</v>
      </c>
      <c r="AC186">
        <f>IF($K185=90,48.8278467851456 - 47.806959580207*EXP(-0.277239618115161*($K184/$K183)^-1.54747755889509),IF($K185=75,50.1417823050971 - 49.1135860314465*EXP(-0.301530732764457*($K184/$K183)^-1.54561444953472),IF($K185=60,54.7760811257494 - 53.7540574575869*EXP(-0.304630071575136*($K184/$K183)^-1.55407754771893),IF($K185=45,43.1114956669904 - 42.081470426847*EXP(-0.421774530709856*($K184/$K183)^-1.56548181659313),IF($K185=30,83.6300898181698 - 82.5595081919206*EXP(-0.232275883030308*($K184/$K183)^-1.58789653739729),IF($K185=15,107.103583610419 - 106.022180533241*EXP(-0.173822505110446*($K184/$K183)^-1.54794763569524),))))))</f>
        <v>1.3951385535022496</v>
      </c>
      <c r="AD186">
        <f>IF($K185=90,48.8278467851456 - 47.806959580207*EXP(-0.277239618115161*($K184/$K183)^-1.54747755889509),IF($K185=75,50.1417823050971 - 49.1135860314465*EXP(-0.301530732764457*($K184/$K183)^-1.54561444953472),IF($K185=60,54.7760811257494 - 53.7540574575869*EXP(-0.304630071575136*($K184/$K183)^-1.55407754771893),IF($K185=45,43.1114956669904 - 42.081470426847*EXP(-0.421774530709856*($K184/$K183)^-1.56548181659313),IF($K185=30,83.6300898181698 - 82.5595081919206*EXP(-0.232275883030308*($K184/$K183)^-1.58789653739729),IF($K185=15,107.103583610419 - 106.022180533241*EXP(-0.173822505110446*($K184/$K183)^-1.54794763569524),))))))</f>
        <v>1.3951385535022496</v>
      </c>
      <c r="AE186">
        <f>IF($K185=90,48.8278467851456 - 47.806959580207*EXP(-0.277239618115161*($K184/$K183)^-1.54747755889509),IF($K185=75,50.1417823050971 - 49.1135860314465*EXP(-0.301530732764457*($K184/$K183)^-1.54561444953472),IF($K185=60,54.7760811257494 - 53.7540574575869*EXP(-0.304630071575136*($K184/$K183)^-1.55407754771893),IF($K185=45,43.1114956669904 - 42.081470426847*EXP(-0.421774530709856*($K184/$K183)^-1.56548181659313),IF($K185=30,83.6300898181698 - 82.5595081919206*EXP(-0.232275883030308*($K184/$K183)^-1.58789653739729),IF($K185=15,107.103583610419 - 106.022180533241*EXP(-0.173822505110446*($K184/$K183)^-1.54794763569524),))))))</f>
        <v>1.3951385535022496</v>
      </c>
      <c r="AF186">
        <f>IF($K185=90,48.8278467851456 - 47.806959580207*EXP(-0.277239618115161*($K184/$K183)^-1.54747755889509),IF($K185=75,50.1417823050971 - 49.1135860314465*EXP(-0.301530732764457*($K184/$K183)^-1.54561444953472),IF($K185=60,54.7760811257494 - 53.7540574575869*EXP(-0.304630071575136*($K184/$K183)^-1.55407754771893),IF($K185=45,43.1114956669904 - 42.081470426847*EXP(-0.421774530709856*($K184/$K183)^-1.56548181659313),IF($K185=30,83.6300898181698 - 82.5595081919206*EXP(-0.232275883030308*($K184/$K183)^-1.58789653739729),IF($K185=15,107.103583610419 - 106.022180533241*EXP(-0.173822505110446*($K184/$K183)^-1.54794763569524),))))))</f>
        <v>1.3951385535022496</v>
      </c>
      <c r="AG186">
        <f>IF($K185=90,48.8278467851456 - 47.806959580207*EXP(-0.277239618115161*($K184/$K183)^-1.54747755889509),IF($K185=75,50.1417823050971 - 49.1135860314465*EXP(-0.301530732764457*($K184/$K183)^-1.54561444953472),IF($K185=60,54.7760811257494 - 53.7540574575869*EXP(-0.304630071575136*($K184/$K183)^-1.55407754771893),IF($K185=45,43.1114956669904 - 42.081470426847*EXP(-0.421774530709856*($K184/$K183)^-1.56548181659313),IF($K185=30,83.6300898181698 - 82.5595081919206*EXP(-0.232275883030308*($K184/$K183)^-1.58789653739729),IF($K185=15,107.103583610419 - 106.022180533241*EXP(-0.173822505110446*($K184/$K183)^-1.54794763569524),))))))</f>
        <v>1.3951385535022496</v>
      </c>
      <c r="AH186">
        <f>IF($K185=90,48.8278467851456 - 47.806959580207*EXP(-0.277239618115161*($K184/$K183)^-1.54747755889509),IF($K185=75,50.1417823050971 - 49.1135860314465*EXP(-0.301530732764457*($K184/$K183)^-1.54561444953472),IF($K185=60,54.7760811257494 - 53.7540574575869*EXP(-0.304630071575136*($K184/$K183)^-1.55407754771893),IF($K185=45,43.1114956669904 - 42.081470426847*EXP(-0.421774530709856*($K184/$K183)^-1.56548181659313),IF($K185=30,83.6300898181698 - 82.5595081919206*EXP(-0.232275883030308*($K184/$K183)^-1.58789653739729),IF($K185=15,107.103583610419 - 106.022180533241*EXP(-0.173822505110446*($K184/$K183)^-1.54794763569524),))))))</f>
        <v>1.3951385535022496</v>
      </c>
      <c r="AI186">
        <f>IF($K185=90,48.8278467851456 - 47.806959580207*EXP(-0.277239618115161*($K184/$K183)^-1.54747755889509),IF($K185=75,50.1417823050971 - 49.1135860314465*EXP(-0.301530732764457*($K184/$K183)^-1.54561444953472),IF($K185=60,54.7760811257494 - 53.7540574575869*EXP(-0.304630071575136*($K184/$K183)^-1.55407754771893),IF($K185=45,43.1114956669904 - 42.081470426847*EXP(-0.421774530709856*($K184/$K183)^-1.56548181659313),IF($K185=30,83.6300898181698 - 82.5595081919206*EXP(-0.232275883030308*($K184/$K183)^-1.58789653739729),IF($K185=15,107.103583610419 - 106.022180533241*EXP(-0.173822505110446*($K184/$K183)^-1.54794763569524),))))))</f>
        <v>1.3951385535022496</v>
      </c>
      <c r="AJ186">
        <f>IF($K185=90,48.8278467851456 - 47.806959580207*EXP(-0.277239618115161*($K184/$K183)^-1.54747755889509),IF($K185=75,50.1417823050971 - 49.1135860314465*EXP(-0.301530732764457*($K184/$K183)^-1.54561444953472),IF($K185=60,54.7760811257494 - 53.7540574575869*EXP(-0.304630071575136*($K184/$K183)^-1.55407754771893),IF($K185=45,43.1114956669904 - 42.081470426847*EXP(-0.421774530709856*($K184/$K183)^-1.56548181659313),IF($K185=30,83.6300898181698 - 82.5595081919206*EXP(-0.232275883030308*($K184/$K183)^-1.58789653739729),IF($K185=15,107.103583610419 - 106.022180533241*EXP(-0.173822505110446*($K184/$K183)^-1.54794763569524),))))))</f>
        <v>1.3951385535022496</v>
      </c>
      <c r="AK186">
        <f>IF($K185=90,48.8278467851456 - 47.806959580207*EXP(-0.277239618115161*($K184/$K183)^-1.54747755889509),IF($K185=75,50.1417823050971 - 49.1135860314465*EXP(-0.301530732764457*($K184/$K183)^-1.54561444953472),IF($K185=60,54.7760811257494 - 53.7540574575869*EXP(-0.304630071575136*($K184/$K183)^-1.55407754771893),IF($K185=45,43.1114956669904 - 42.081470426847*EXP(-0.421774530709856*($K184/$K183)^-1.56548181659313),IF($K185=30,83.6300898181698 - 82.5595081919206*EXP(-0.232275883030308*($K184/$K183)^-1.58789653739729),IF($K185=15,107.103583610419 - 106.022180533241*EXP(-0.173822505110446*($K184/$K183)^-1.54794763569524),))))))</f>
        <v>1.3951385535022496</v>
      </c>
      <c r="AL186">
        <f>IF($K185=90,48.8278467851456 - 47.806959580207*EXP(-0.277239618115161*($K184/$K183)^-1.54747755889509),IF($K185=75,50.1417823050971 - 49.1135860314465*EXP(-0.301530732764457*($K184/$K183)^-1.54561444953472),IF($K185=60,54.7760811257494 - 53.7540574575869*EXP(-0.304630071575136*($K184/$K183)^-1.55407754771893),IF($K185=45,43.1114956669904 - 42.081470426847*EXP(-0.421774530709856*($K184/$K183)^-1.56548181659313),IF($K185=30,83.6300898181698 - 82.5595081919206*EXP(-0.232275883030308*($K184/$K183)^-1.58789653739729),IF($K185=15,107.103583610419 - 106.022180533241*EXP(-0.173822505110446*($K184/$K183)^-1.54794763569524),))))))</f>
        <v>1.3951385535022496</v>
      </c>
      <c r="AM186">
        <f>IF($K185=90,48.8278467851456 - 47.806959580207*EXP(-0.277239618115161*($K184/$K183)^-1.54747755889509),IF($K185=75,50.1417823050971 - 49.1135860314465*EXP(-0.301530732764457*($K184/$K183)^-1.54561444953472),IF($K185=60,54.7760811257494 - 53.7540574575869*EXP(-0.304630071575136*($K184/$K183)^-1.55407754771893),IF($K185=45,43.1114956669904 - 42.081470426847*EXP(-0.421774530709856*($K184/$K183)^-1.56548181659313),IF($K185=30,83.6300898181698 - 82.5595081919206*EXP(-0.232275883030308*($K184/$K183)^-1.58789653739729),IF($K185=15,107.103583610419 - 106.022180533241*EXP(-0.173822505110446*($K184/$K183)^-1.54794763569524),))))))</f>
        <v>1.3951385535022496</v>
      </c>
      <c r="AN186">
        <f>IF($K185=90,48.8278467851456 - 47.806959580207*EXP(-0.277239618115161*($K184/$K183)^-1.54747755889509),IF($K185=75,50.1417823050971 - 49.1135860314465*EXP(-0.301530732764457*($K184/$K183)^-1.54561444953472),IF($K185=60,54.7760811257494 - 53.7540574575869*EXP(-0.304630071575136*($K184/$K183)^-1.55407754771893),IF($K185=45,43.1114956669904 - 42.081470426847*EXP(-0.421774530709856*($K184/$K183)^-1.56548181659313),IF($K185=30,83.6300898181698 - 82.5595081919206*EXP(-0.232275883030308*($K184/$K183)^-1.58789653739729),IF($K185=15,107.103583610419 - 106.022180533241*EXP(-0.173822505110446*($K184/$K183)^-1.54794763569524),))))))</f>
        <v>1.3951385535022496</v>
      </c>
      <c r="AQ186">
        <v>163</v>
      </c>
      <c r="AR186" s="14">
        <v>4.2963218585462322</v>
      </c>
      <c r="AS186" s="13">
        <f t="shared" si="41"/>
        <v>42058.187215522732</v>
      </c>
      <c r="AT186" s="9">
        <v>3.3715273574111246</v>
      </c>
      <c r="AU186" s="13">
        <f t="shared" si="42"/>
        <v>33005.052570301465</v>
      </c>
    </row>
    <row r="187" spans="1:47" x14ac:dyDescent="0.35">
      <c r="A187">
        <f t="shared" si="37"/>
        <v>164</v>
      </c>
      <c r="B187" s="13">
        <f t="shared" si="38"/>
        <v>42004.899326084349</v>
      </c>
      <c r="F187">
        <f t="shared" si="39"/>
        <v>164</v>
      </c>
      <c r="G187" s="13">
        <f t="shared" si="40"/>
        <v>32979.383650281205</v>
      </c>
      <c r="I187" s="1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AB187">
        <f>IF(AND($J131="Schlauch 8 mm 0,5 Meter",M$19*1000^2/($M$16*($K76/2000)^2*PI())*($K76/1000)/$O$16&gt;1000),2.3,IF(AND($J131="Schlauch 10 mm 0,5 Meter",M$19*1000^2/($M$16*($K76/2000)^2*PI())*($K76/1000)/$O$16&gt;1000),2.3,IF(AND($J131="Schlauch 13 mm 0,5 Meter",M$19*1000^2/($M$16*($K76/2000)^2*PI())*($K76/1000)/$O$16&gt;1000),2.3,1)))</f>
        <v>1</v>
      </c>
      <c r="AC187">
        <f>IF(AND($J131="Schlauch 8 mm 0,5 Meter",N$19*1000^2/($M$16*($K76/2000)^2*PI())*($K76/1000)/$O$16&gt;1000),2.3,IF(AND($J131="Schlauch 10 mm 0,5 Meter",N$19*1000^2/($M$16*($K76/2000)^2*PI())*($K76/1000)/$O$16&gt;1000),2.3,IF(AND($J131="Schlauch 13 mm 0,5 Meter",N$19*1000^2/($M$16*($K76/2000)^2*PI())*($K76/1000)/$O$16&gt;1000),2.3,1)))</f>
        <v>2.2999999999999998</v>
      </c>
      <c r="AD187">
        <f>IF(AND($J131="Schlauch 8 mm 0,5 Meter",O$19*1000^2/($M$16*($K76/2000)^2*PI())*($K76/1000)/$O$16&gt;1000),2.3,IF(AND($J131="Schlauch 10 mm 0,5 Meter",O$19*1000^2/($M$16*($K76/2000)^2*PI())*($K76/1000)/$O$16&gt;1000),2.3,IF(AND($J131="Schlauch 13 mm 0,5 Meter",O$19*1000^2/($M$16*($K76/2000)^2*PI())*($K76/1000)/$O$16&gt;1000),2.3,1)))</f>
        <v>2.2999999999999998</v>
      </c>
      <c r="AE187">
        <f>IF(AND($J131="Schlauch 8 mm 0,5 Meter",P$19*1000^2/($M$16*($K76/2000)^2*PI())*($K76/1000)/$O$16&gt;1000),2.3,IF(AND($J131="Schlauch 10 mm 0,5 Meter",P$19*1000^2/($M$16*($K76/2000)^2*PI())*($K76/1000)/$O$16&gt;1000),2.3,IF(AND($J131="Schlauch 13 mm 0,5 Meter",P$19*1000^2/($M$16*($K76/2000)^2*PI())*($K76/1000)/$O$16&gt;1000),2.3,1)))</f>
        <v>2.2999999999999998</v>
      </c>
      <c r="AF187">
        <f>IF(AND($J131="Schlauch 8 mm 0,5 Meter",Q$19*1000^2/($M$16*($K76/2000)^2*PI())*($K76/1000)/$O$16&gt;1000),2.3,IF(AND($J131="Schlauch 10 mm 0,5 Meter",Q$19*1000^2/($M$16*($K76/2000)^2*PI())*($K76/1000)/$O$16&gt;1000),2.3,IF(AND($J131="Schlauch 13 mm 0,5 Meter",Q$19*1000^2/($M$16*($K76/2000)^2*PI())*($K76/1000)/$O$16&gt;1000),2.3,1)))</f>
        <v>2.2999999999999998</v>
      </c>
      <c r="AG187">
        <f>IF(AND($J131="Schlauch 8 mm 0,5 Meter",R$19*1000^2/($M$16*($K76/2000)^2*PI())*($K76/1000)/$O$16&gt;1000),2.3,IF(AND($J131="Schlauch 10 mm 0,5 Meter",R$19*1000^2/($M$16*($K76/2000)^2*PI())*($K76/1000)/$O$16&gt;1000),2.3,IF(AND($J131="Schlauch 13 mm 0,5 Meter",R$19*1000^2/($M$16*($K76/2000)^2*PI())*($K76/1000)/$O$16&gt;1000),2.3,1)))</f>
        <v>2.2999999999999998</v>
      </c>
      <c r="AH187">
        <f>IF(AND($J131="Schlauch 8 mm 0,5 Meter",S$19*1000^2/($M$16*($K76/2000)^2*PI())*($K76/1000)/$O$16&gt;1000),2.3,IF(AND($J131="Schlauch 10 mm 0,5 Meter",S$19*1000^2/($M$16*($K76/2000)^2*PI())*($K76/1000)/$O$16&gt;1000),2.3,IF(AND($J131="Schlauch 13 mm 0,5 Meter",S$19*1000^2/($M$16*($K76/2000)^2*PI())*($K76/1000)/$O$16&gt;1000),2.3,1)))</f>
        <v>2.2999999999999998</v>
      </c>
      <c r="AI187">
        <f>IF(AND($J131="Schlauch 8 mm 0,5 Meter",T$19*1000^2/($M$16*($K76/2000)^2*PI())*($K76/1000)/$O$16&gt;1000),2.3,IF(AND($J131="Schlauch 10 mm 0,5 Meter",T$19*1000^2/($M$16*($K76/2000)^2*PI())*($K76/1000)/$O$16&gt;1000),2.3,IF(AND($J131="Schlauch 13 mm 0,5 Meter",T$19*1000^2/($M$16*($K76/2000)^2*PI())*($K76/1000)/$O$16&gt;1000),2.3,1)))</f>
        <v>2.2999999999999998</v>
      </c>
      <c r="AJ187">
        <f>IF(AND($J131="Schlauch 8 mm 0,5 Meter",U$19*1000^2/($M$16*($K76/2000)^2*PI())*($K76/1000)/$O$16&gt;1000),2.3,IF(AND($J131="Schlauch 10 mm 0,5 Meter",U$19*1000^2/($M$16*($K76/2000)^2*PI())*($K76/1000)/$O$16&gt;1000),2.3,IF(AND($J131="Schlauch 13 mm 0,5 Meter",U$19*1000^2/($M$16*($K76/2000)^2*PI())*($K76/1000)/$O$16&gt;1000),2.3,1)))</f>
        <v>2.2999999999999998</v>
      </c>
      <c r="AK187">
        <f>IF(AND($J131="Schlauch 8 mm 0,5 Meter",V$19*1000^2/($M$16*($K76/2000)^2*PI())*($K76/1000)/$O$16&gt;1000),2.3,IF(AND($J131="Schlauch 10 mm 0,5 Meter",V$19*1000^2/($M$16*($K76/2000)^2*PI())*($K76/1000)/$O$16&gt;1000),2.3,IF(AND($J131="Schlauch 13 mm 0,5 Meter",V$19*1000^2/($M$16*($K76/2000)^2*PI())*($K76/1000)/$O$16&gt;1000),2.3,1)))</f>
        <v>2.2999999999999998</v>
      </c>
      <c r="AL187">
        <f>IF(AND($J131="Schlauch 8 mm 0,5 Meter",W$19*1000^2/($M$16*($K76/2000)^2*PI())*($K76/1000)/$O$16&gt;1000),2.3,IF(AND($J131="Schlauch 10 mm 0,5 Meter",W$19*1000^2/($M$16*($K76/2000)^2*PI())*($K76/1000)/$O$16&gt;1000),2.3,IF(AND($J131="Schlauch 13 mm 0,5 Meter",W$19*1000^2/($M$16*($K76/2000)^2*PI())*($K76/1000)/$O$16&gt;1000),2.3,1)))</f>
        <v>2.2999999999999998</v>
      </c>
      <c r="AM187">
        <f>IF(AND($J131="Schlauch 8 mm 0,5 Meter",X$19*1000^2/($M$16*($K76/2000)^2*PI())*($K76/1000)/$O$16&gt;1000),2.3,IF(AND($J131="Schlauch 10 mm 0,5 Meter",X$19*1000^2/($M$16*($K76/2000)^2*PI())*($K76/1000)/$O$16&gt;1000),2.3,IF(AND($J131="Schlauch 13 mm 0,5 Meter",X$19*1000^2/($M$16*($K76/2000)^2*PI())*($K76/1000)/$O$16&gt;1000),2.3,1)))</f>
        <v>2.2999999999999998</v>
      </c>
      <c r="AN187">
        <f>IF(AND($J131="Schlauch 8 mm 0,5 Meter",Y$19*1000^2/($M$16*($K76/2000)^2*PI())*($K76/1000)/$O$16&gt;1000),2.3,IF(AND($J131="Schlauch 10 mm 0,5 Meter",Y$19*1000^2/($M$16*($K76/2000)^2*PI())*($K76/1000)/$O$16&gt;1000),2.3,IF(AND($J131="Schlauch 13 mm 0,5 Meter",Y$19*1000^2/($M$16*($K76/2000)^2*PI())*($K76/1000)/$O$16&gt;1000),2.3,1)))</f>
        <v>2.2999999999999998</v>
      </c>
      <c r="AQ187">
        <v>164</v>
      </c>
      <c r="AR187" s="14">
        <v>4.2908784017701063</v>
      </c>
      <c r="AS187" s="13">
        <f t="shared" si="41"/>
        <v>42004.899326084349</v>
      </c>
      <c r="AT187" s="9">
        <v>3.3689052296051116</v>
      </c>
      <c r="AU187" s="13">
        <f t="shared" si="42"/>
        <v>32979.383650281205</v>
      </c>
    </row>
    <row r="188" spans="1:47" x14ac:dyDescent="0.35">
      <c r="A188">
        <f t="shared" si="37"/>
        <v>165</v>
      </c>
      <c r="B188" s="13">
        <f t="shared" si="38"/>
        <v>41951.223367315695</v>
      </c>
      <c r="F188">
        <f t="shared" si="39"/>
        <v>165</v>
      </c>
      <c r="G188" s="13">
        <f t="shared" si="40"/>
        <v>32953.667731698515</v>
      </c>
      <c r="I188" s="1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AQ188">
        <v>165</v>
      </c>
      <c r="AR188" s="14">
        <v>4.2853953029918719</v>
      </c>
      <c r="AS188" s="13">
        <f t="shared" si="41"/>
        <v>41951.223367315695</v>
      </c>
      <c r="AT188" s="9">
        <v>3.3662783008087453</v>
      </c>
      <c r="AU188" s="13">
        <f t="shared" si="42"/>
        <v>32953.667731698515</v>
      </c>
    </row>
    <row r="189" spans="1:47" x14ac:dyDescent="0.35">
      <c r="A189">
        <f t="shared" si="37"/>
        <v>166</v>
      </c>
      <c r="B189" s="13">
        <f t="shared" si="38"/>
        <v>41897.158890728198</v>
      </c>
      <c r="F189">
        <f t="shared" si="39"/>
        <v>166</v>
      </c>
      <c r="G189" s="13">
        <f t="shared" si="40"/>
        <v>32927.905014125041</v>
      </c>
      <c r="I189" s="1">
        <v>7</v>
      </c>
      <c r="J189" t="s">
        <v>69</v>
      </c>
      <c r="K189">
        <f>K132</f>
        <v>10</v>
      </c>
      <c r="L189" t="s">
        <v>70</v>
      </c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AQ189">
        <v>166</v>
      </c>
      <c r="AR189" s="14">
        <v>4.2798725163975888</v>
      </c>
      <c r="AS189" s="13">
        <f t="shared" si="41"/>
        <v>41897.158890728198</v>
      </c>
      <c r="AT189" s="9">
        <v>3.3636465914086409</v>
      </c>
      <c r="AU189" s="13">
        <f t="shared" si="42"/>
        <v>32927.905014125041</v>
      </c>
    </row>
    <row r="190" spans="1:47" x14ac:dyDescent="0.35">
      <c r="A190">
        <f t="shared" si="37"/>
        <v>167</v>
      </c>
      <c r="B190" s="13">
        <f t="shared" si="38"/>
        <v>41842.705450029651</v>
      </c>
      <c r="F190">
        <f t="shared" si="39"/>
        <v>167</v>
      </c>
      <c r="G190" s="13">
        <f t="shared" si="40"/>
        <v>32902.095695086777</v>
      </c>
      <c r="I190" s="1"/>
      <c r="J190" t="s">
        <v>71</v>
      </c>
      <c r="K190">
        <v>100</v>
      </c>
      <c r="L190" t="s">
        <v>70</v>
      </c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AQ190">
        <v>167</v>
      </c>
      <c r="AR190" s="14">
        <v>4.2743099963976814</v>
      </c>
      <c r="AS190" s="13">
        <f t="shared" si="41"/>
        <v>41842.705450029651</v>
      </c>
      <c r="AT190" s="9">
        <v>3.3610101215824431</v>
      </c>
      <c r="AU190" s="13">
        <f t="shared" si="42"/>
        <v>32902.095695086777</v>
      </c>
    </row>
    <row r="191" spans="1:47" x14ac:dyDescent="0.35">
      <c r="A191">
        <f t="shared" si="37"/>
        <v>168</v>
      </c>
      <c r="B191" s="13">
        <f t="shared" si="38"/>
        <v>41787.862601100263</v>
      </c>
      <c r="F191">
        <f t="shared" si="39"/>
        <v>168</v>
      </c>
      <c r="G191" s="13">
        <f t="shared" si="40"/>
        <v>32876.239970097093</v>
      </c>
      <c r="I191" s="1"/>
      <c r="J191" t="s">
        <v>72</v>
      </c>
      <c r="K191">
        <v>90</v>
      </c>
      <c r="L191" t="s">
        <v>73</v>
      </c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AQ191">
        <v>168</v>
      </c>
      <c r="AR191" s="14">
        <v>4.2687076976244871</v>
      </c>
      <c r="AS191" s="13">
        <f t="shared" si="41"/>
        <v>41787.862601100263</v>
      </c>
      <c r="AT191" s="9">
        <v>3.3583689113022066</v>
      </c>
      <c r="AU191" s="13">
        <f t="shared" si="42"/>
        <v>32876.239970097093</v>
      </c>
    </row>
    <row r="192" spans="1:47" x14ac:dyDescent="0.35">
      <c r="A192">
        <f t="shared" si="37"/>
        <v>169</v>
      </c>
      <c r="B192" s="13">
        <f t="shared" si="38"/>
        <v>41732.629901969129</v>
      </c>
      <c r="F192">
        <f t="shared" si="39"/>
        <v>169</v>
      </c>
      <c r="G192" s="13">
        <f t="shared" si="40"/>
        <v>32850.338032689157</v>
      </c>
      <c r="I192" s="1"/>
      <c r="J192" t="s">
        <v>76</v>
      </c>
      <c r="L192" s="4" t="s">
        <v>12</v>
      </c>
      <c r="M192" s="1">
        <v>0</v>
      </c>
      <c r="N192" s="10">
        <f>IF(N$19*1000^2/($M$16*($K189/2000)^2*PI())*($K189/1000)/$O$16&lt;2320,(64*PI()*$K190*($K191/180)*1000*$M$16*(N$19/($M$16*($K189/2000)^2*PI()))^2)/((N$19*1000^2/($M$16*($K189/2000)^2*PI())*($K189/1000)/$O$16)*1000*$K189*2)*AC192*AC193,(0.3164*PI()*$K190*($K191/180)*1000*$M$16*(N$19/($M$16*($K189/2000)^2*PI()))^2)/(((N$19*1000^2/($M$16*($K189/2000)^2*PI())*($K189/1000)/$O$16))^0.25*1000*$K189*2)*AC192*AC193)</f>
        <v>11.897974921284195</v>
      </c>
      <c r="O192" s="10">
        <f>IF(O$19*1000^2/($M$16*($K189/2000)^2*PI())*($K189/1000)/$O$16&lt;2320,(64*PI()*$K190*($K191/180)*1000*$M$16*(O$19/($M$16*($K189/2000)^2*PI()))^2)/((O$19*1000^2/($M$16*($K189/2000)^2*PI())*($K189/1000)/$O$16)*1000*$K189*2)*AD192*AD193,(0.3164*PI()*$K190*($K191/180)*1000*$M$16*(O$19/($M$16*($K189/2000)^2*PI()))^2)/(((O$19*1000^2/($M$16*($K189/2000)^2*PI())*($K189/1000)/$O$16))^0.25*1000*$K189*2)*AD192*AD193)</f>
        <v>36.132670246802761</v>
      </c>
      <c r="P192" s="10">
        <f>IF(P$19*1000^2/($M$16*($K189/2000)^2*PI())*($K189/1000)/$O$16&lt;2320,(64*PI()*$K190*($K191/180)*1000*$M$16*(P$19/($M$16*($K189/2000)^2*PI()))^2)/((P$19*1000^2/($M$16*($K189/2000)^2*PI())*($K189/1000)/$O$16)*1000*$K189*2)*AE192*AE193,(0.3164*PI()*$K190*($K191/180)*1000*$M$16*(P$19/($M$16*($K189/2000)^2*PI()))^2)/(((P$19*1000^2/($M$16*($K189/2000)^2*PI())*($K189/1000)/$O$16))^0.25*1000*$K189*2)*AE192*AE193)</f>
        <v>67.449461636808977</v>
      </c>
      <c r="Q192" s="10">
        <f>IF(Q$19*1000^2/($M$16*($K189/2000)^2*PI())*($K189/1000)/$O$16&lt;2320,(64*PI()*$K190*($K191/180)*1000*$M$16*(Q$19/($M$16*($K189/2000)^2*PI()))^2)/((Q$19*1000^2/($M$16*($K189/2000)^2*PI())*($K189/1000)/$O$16)*1000*$K189*2)*AF192*AF193,(0.3164*PI()*$K190*($K191/180)*1000*$M$16*(Q$19/($M$16*($K189/2000)^2*PI()))^2)/(((Q$19*1000^2/($M$16*($K189/2000)^2*PI())*($K189/1000)/$O$16))^0.25*1000*$K189*2)*AF192*AF193)</f>
        <v>106.75281948278872</v>
      </c>
      <c r="R192" s="10">
        <f>IF(R$19*1000^2/($M$16*($K189/2000)^2*PI())*($K189/1000)/$O$16&lt;2320,(64*PI()*$K190*($K191/180)*1000*$M$16*(R$19/($M$16*($K189/2000)^2*PI()))^2)/((R$19*1000^2/($M$16*($K189/2000)^2*PI())*($K189/1000)/$O$16)*1000*$K189*2)*AG192*AG193,(0.3164*PI()*$K190*($K191/180)*1000*$M$16*(R$19/($M$16*($K189/2000)^2*PI()))^2)/(((R$19*1000^2/($M$16*($K189/2000)^2*PI())*($K189/1000)/$O$16))^0.25*1000*$K189*2)*AG192*AG193)</f>
        <v>153.52830572409292</v>
      </c>
      <c r="S192" s="10">
        <f>IF(S$19*1000^2/($M$16*($K189/2000)^2*PI())*($K189/1000)/$O$16&lt;2320,(64*PI()*$K190*($K191/180)*1000*$M$16*(S$19/($M$16*($K189/2000)^2*PI()))^2)/((S$19*1000^2/($M$16*($K189/2000)^2*PI())*($K189/1000)/$O$16)*1000*$K189*2)*AH192*AH193,(0.3164*PI()*$K190*($K191/180)*1000*$M$16*(S$19/($M$16*($K189/2000)^2*PI()))^2)/(((S$19*1000^2/($M$16*($K189/2000)^2*PI())*($K189/1000)/$O$16))^0.25*1000*$K189*2)*AH192*AH193)</f>
        <v>207.39452594935204</v>
      </c>
      <c r="T192" s="10">
        <f>IF(T$19*1000^2/($M$16*($K189/2000)^2*PI())*($K189/1000)/$O$16&lt;2320,(64*PI()*$K190*($K191/180)*1000*$M$16*(T$19/($M$16*($K189/2000)^2*PI()))^2)/((T$19*1000^2/($M$16*($K189/2000)^2*PI())*($K189/1000)/$O$16)*1000*$K189*2)*AI192*AI193,(0.3164*PI()*$K190*($K191/180)*1000*$M$16*(T$19/($M$16*($K189/2000)^2*PI()))^2)/(((T$19*1000^2/($M$16*($K189/2000)^2*PI())*($K189/1000)/$O$16))^0.25*1000*$K189*2)*AI192*AI193)</f>
        <v>268.05146123098319</v>
      </c>
      <c r="U192" s="10">
        <f>IF(U$19*1000^2/($M$16*($K189/2000)^2*PI())*($K189/1000)/$O$16&lt;2320,(64*PI()*$K190*($K191/180)*1000*$M$16*(U$19/($M$16*($K189/2000)^2*PI()))^2)/((U$19*1000^2/($M$16*($K189/2000)^2*PI())*($K189/1000)/$O$16)*1000*$K189*2)*AJ192*AJ193,(0.3164*PI()*$K190*($K191/180)*1000*$M$16*(U$19/($M$16*($K189/2000)^2*PI()))^2)/(((U$19*1000^2/($M$16*($K189/2000)^2*PI())*($K189/1000)/$O$16))^0.25*1000*$K189*2)*AJ192*AJ193)</f>
        <v>335.25364069281437</v>
      </c>
      <c r="V192" s="10">
        <f>IF(V$19*1000^2/($M$16*($K189/2000)^2*PI())*($K189/1000)/$O$16&lt;2320,(64*PI()*$K190*($K191/180)*1000*$M$16*(V$19/($M$16*($K189/2000)^2*PI()))^2)/((V$19*1000^2/($M$16*($K189/2000)^2*PI())*($K189/1000)/$O$16)*1000*$K189*2)*AK192*AK193,(0.3164*PI()*$K190*($K191/180)*1000*$M$16*(V$19/($M$16*($K189/2000)^2*PI()))^2)/(((V$19*1000^2/($M$16*($K189/2000)^2*PI())*($K189/1000)/$O$16))^0.25*1000*$K189*2)*AK192*AK193)</f>
        <v>408.79449846226629</v>
      </c>
      <c r="W192" s="10">
        <f>IF(W$19*1000^2/($M$16*($K189/2000)^2*PI())*($K189/1000)/$O$16&lt;2320,(64*PI()*$K190*($K191/180)*1000*$M$16*(W$19/($M$16*($K189/2000)^2*PI()))^2)/((W$19*1000^2/($M$16*($K189/2000)^2*PI())*($K189/1000)/$O$16)*1000*$K189*2)*AL192*AL193,(0.3164*PI()*$K190*($K191/180)*1000*$M$16*(W$19/($M$16*($K189/2000)^2*PI()))^2)/(((W$19*1000^2/($M$16*($K189/2000)^2*PI())*($K189/1000)/$O$16))^0.25*1000*$K189*2)*AL192*AL193)</f>
        <v>488.49649482243501</v>
      </c>
      <c r="X192" s="10">
        <f>IF(X$19*1000^2/($M$16*($K189/2000)^2*PI())*($K189/1000)/$O$16&lt;2320,(64*PI()*$K190*($K191/180)*1000*$M$16*(X$19/($M$16*($K189/2000)^2*PI()))^2)/((X$19*1000^2/($M$16*($K189/2000)^2*PI())*($K189/1000)/$O$16)*1000*$K189*2)*AM192*AM193,(0.3164*PI()*$K190*($K191/180)*1000*$M$16*(X$19/($M$16*($K189/2000)^2*PI()))^2)/(((X$19*1000^2/($M$16*($K189/2000)^2*PI())*($K189/1000)/$O$16))^0.25*1000*$K189*2)*AM192*AM193)</f>
        <v>574.20450094769126</v>
      </c>
      <c r="Y192" s="10">
        <f>IF(Y$19*1000^2/($M$16*($K189/2000)^2*PI())*($K189/1000)/$O$16&lt;2320,(64*PI()*$K190*($K191/180)*1000*$M$16*(Y$19/($M$16*($K189/2000)^2*PI()))^2)/((Y$19*1000^2/($M$16*($K189/2000)^2*PI())*($K189/1000)/$O$16)*1000*$K189*2)*AN192*AN193,(0.3164*PI()*$K190*($K191/180)*1000*$M$16*(Y$19/($M$16*($K189/2000)^2*PI()))^2)/(((Y$19*1000^2/($M$16*($K189/2000)^2*PI())*($K189/1000)/$O$16))^0.25*1000*$K189*2)*AN192*AN193)</f>
        <v>665.78116492122876</v>
      </c>
      <c r="AB192">
        <f>IF($K191=90,48.8278467851456 - 47.806959580207*EXP(-0.277239618115161*($K190/$K189)^-1.54747755889509),IF($K191=75,50.1417823050971 - 49.1135860314465*EXP(-0.301530732764457*($K190/$K189)^-1.54561444953472),IF($K191=60,54.7760811257494 - 53.7540574575869*EXP(-0.304630071575136*($K190/$K189)^-1.55407754771893),IF($K191=45,43.1114956669904 - 42.081470426847*EXP(-0.421774530709856*($K190/$K189)^-1.56548181659313),IF($K191=30,83.6300898181698 - 82.5595081919206*EXP(-0.232275883030308*($K190/$K189)^-1.58789653739729),IF($K191=15,107.103583610419 - 106.022180533241*EXP(-0.173822505110446*($K190/$K189)^-1.54794763569524),))))))</f>
        <v>1.3951385535022496</v>
      </c>
      <c r="AC192">
        <f>IF($K191=90,48.8278467851456 - 47.806959580207*EXP(-0.277239618115161*($K190/$K189)^-1.54747755889509),IF($K191=75,50.1417823050971 - 49.1135860314465*EXP(-0.301530732764457*($K190/$K189)^-1.54561444953472),IF($K191=60,54.7760811257494 - 53.7540574575869*EXP(-0.304630071575136*($K190/$K189)^-1.55407754771893),IF($K191=45,43.1114956669904 - 42.081470426847*EXP(-0.421774530709856*($K190/$K189)^-1.56548181659313),IF($K191=30,83.6300898181698 - 82.5595081919206*EXP(-0.232275883030308*($K190/$K189)^-1.58789653739729),IF($K191=15,107.103583610419 - 106.022180533241*EXP(-0.173822505110446*($K190/$K189)^-1.54794763569524),))))))</f>
        <v>1.3951385535022496</v>
      </c>
      <c r="AD192">
        <f>IF($K191=90,48.8278467851456 - 47.806959580207*EXP(-0.277239618115161*($K190/$K189)^-1.54747755889509),IF($K191=75,50.1417823050971 - 49.1135860314465*EXP(-0.301530732764457*($K190/$K189)^-1.54561444953472),IF($K191=60,54.7760811257494 - 53.7540574575869*EXP(-0.304630071575136*($K190/$K189)^-1.55407754771893),IF($K191=45,43.1114956669904 - 42.081470426847*EXP(-0.421774530709856*($K190/$K189)^-1.56548181659313),IF($K191=30,83.6300898181698 - 82.5595081919206*EXP(-0.232275883030308*($K190/$K189)^-1.58789653739729),IF($K191=15,107.103583610419 - 106.022180533241*EXP(-0.173822505110446*($K190/$K189)^-1.54794763569524),))))))</f>
        <v>1.3951385535022496</v>
      </c>
      <c r="AE192">
        <f>IF($K191=90,48.8278467851456 - 47.806959580207*EXP(-0.277239618115161*($K190/$K189)^-1.54747755889509),IF($K191=75,50.1417823050971 - 49.1135860314465*EXP(-0.301530732764457*($K190/$K189)^-1.54561444953472),IF($K191=60,54.7760811257494 - 53.7540574575869*EXP(-0.304630071575136*($K190/$K189)^-1.55407754771893),IF($K191=45,43.1114956669904 - 42.081470426847*EXP(-0.421774530709856*($K190/$K189)^-1.56548181659313),IF($K191=30,83.6300898181698 - 82.5595081919206*EXP(-0.232275883030308*($K190/$K189)^-1.58789653739729),IF($K191=15,107.103583610419 - 106.022180533241*EXP(-0.173822505110446*($K190/$K189)^-1.54794763569524),))))))</f>
        <v>1.3951385535022496</v>
      </c>
      <c r="AF192">
        <f>IF($K191=90,48.8278467851456 - 47.806959580207*EXP(-0.277239618115161*($K190/$K189)^-1.54747755889509),IF($K191=75,50.1417823050971 - 49.1135860314465*EXP(-0.301530732764457*($K190/$K189)^-1.54561444953472),IF($K191=60,54.7760811257494 - 53.7540574575869*EXP(-0.304630071575136*($K190/$K189)^-1.55407754771893),IF($K191=45,43.1114956669904 - 42.081470426847*EXP(-0.421774530709856*($K190/$K189)^-1.56548181659313),IF($K191=30,83.6300898181698 - 82.5595081919206*EXP(-0.232275883030308*($K190/$K189)^-1.58789653739729),IF($K191=15,107.103583610419 - 106.022180533241*EXP(-0.173822505110446*($K190/$K189)^-1.54794763569524),))))))</f>
        <v>1.3951385535022496</v>
      </c>
      <c r="AG192">
        <f>IF($K191=90,48.8278467851456 - 47.806959580207*EXP(-0.277239618115161*($K190/$K189)^-1.54747755889509),IF($K191=75,50.1417823050971 - 49.1135860314465*EXP(-0.301530732764457*($K190/$K189)^-1.54561444953472),IF($K191=60,54.7760811257494 - 53.7540574575869*EXP(-0.304630071575136*($K190/$K189)^-1.55407754771893),IF($K191=45,43.1114956669904 - 42.081470426847*EXP(-0.421774530709856*($K190/$K189)^-1.56548181659313),IF($K191=30,83.6300898181698 - 82.5595081919206*EXP(-0.232275883030308*($K190/$K189)^-1.58789653739729),IF($K191=15,107.103583610419 - 106.022180533241*EXP(-0.173822505110446*($K190/$K189)^-1.54794763569524),))))))</f>
        <v>1.3951385535022496</v>
      </c>
      <c r="AH192">
        <f>IF($K191=90,48.8278467851456 - 47.806959580207*EXP(-0.277239618115161*($K190/$K189)^-1.54747755889509),IF($K191=75,50.1417823050971 - 49.1135860314465*EXP(-0.301530732764457*($K190/$K189)^-1.54561444953472),IF($K191=60,54.7760811257494 - 53.7540574575869*EXP(-0.304630071575136*($K190/$K189)^-1.55407754771893),IF($K191=45,43.1114956669904 - 42.081470426847*EXP(-0.421774530709856*($K190/$K189)^-1.56548181659313),IF($K191=30,83.6300898181698 - 82.5595081919206*EXP(-0.232275883030308*($K190/$K189)^-1.58789653739729),IF($K191=15,107.103583610419 - 106.022180533241*EXP(-0.173822505110446*($K190/$K189)^-1.54794763569524),))))))</f>
        <v>1.3951385535022496</v>
      </c>
      <c r="AI192">
        <f>IF($K191=90,48.8278467851456 - 47.806959580207*EXP(-0.277239618115161*($K190/$K189)^-1.54747755889509),IF($K191=75,50.1417823050971 - 49.1135860314465*EXP(-0.301530732764457*($K190/$K189)^-1.54561444953472),IF($K191=60,54.7760811257494 - 53.7540574575869*EXP(-0.304630071575136*($K190/$K189)^-1.55407754771893),IF($K191=45,43.1114956669904 - 42.081470426847*EXP(-0.421774530709856*($K190/$K189)^-1.56548181659313),IF($K191=30,83.6300898181698 - 82.5595081919206*EXP(-0.232275883030308*($K190/$K189)^-1.58789653739729),IF($K191=15,107.103583610419 - 106.022180533241*EXP(-0.173822505110446*($K190/$K189)^-1.54794763569524),))))))</f>
        <v>1.3951385535022496</v>
      </c>
      <c r="AJ192">
        <f>IF($K191=90,48.8278467851456 - 47.806959580207*EXP(-0.277239618115161*($K190/$K189)^-1.54747755889509),IF($K191=75,50.1417823050971 - 49.1135860314465*EXP(-0.301530732764457*($K190/$K189)^-1.54561444953472),IF($K191=60,54.7760811257494 - 53.7540574575869*EXP(-0.304630071575136*($K190/$K189)^-1.55407754771893),IF($K191=45,43.1114956669904 - 42.081470426847*EXP(-0.421774530709856*($K190/$K189)^-1.56548181659313),IF($K191=30,83.6300898181698 - 82.5595081919206*EXP(-0.232275883030308*($K190/$K189)^-1.58789653739729),IF($K191=15,107.103583610419 - 106.022180533241*EXP(-0.173822505110446*($K190/$K189)^-1.54794763569524),))))))</f>
        <v>1.3951385535022496</v>
      </c>
      <c r="AK192">
        <f>IF($K191=90,48.8278467851456 - 47.806959580207*EXP(-0.277239618115161*($K190/$K189)^-1.54747755889509),IF($K191=75,50.1417823050971 - 49.1135860314465*EXP(-0.301530732764457*($K190/$K189)^-1.54561444953472),IF($K191=60,54.7760811257494 - 53.7540574575869*EXP(-0.304630071575136*($K190/$K189)^-1.55407754771893),IF($K191=45,43.1114956669904 - 42.081470426847*EXP(-0.421774530709856*($K190/$K189)^-1.56548181659313),IF($K191=30,83.6300898181698 - 82.5595081919206*EXP(-0.232275883030308*($K190/$K189)^-1.58789653739729),IF($K191=15,107.103583610419 - 106.022180533241*EXP(-0.173822505110446*($K190/$K189)^-1.54794763569524),))))))</f>
        <v>1.3951385535022496</v>
      </c>
      <c r="AL192">
        <f>IF($K191=90,48.8278467851456 - 47.806959580207*EXP(-0.277239618115161*($K190/$K189)^-1.54747755889509),IF($K191=75,50.1417823050971 - 49.1135860314465*EXP(-0.301530732764457*($K190/$K189)^-1.54561444953472),IF($K191=60,54.7760811257494 - 53.7540574575869*EXP(-0.304630071575136*($K190/$K189)^-1.55407754771893),IF($K191=45,43.1114956669904 - 42.081470426847*EXP(-0.421774530709856*($K190/$K189)^-1.56548181659313),IF($K191=30,83.6300898181698 - 82.5595081919206*EXP(-0.232275883030308*($K190/$K189)^-1.58789653739729),IF($K191=15,107.103583610419 - 106.022180533241*EXP(-0.173822505110446*($K190/$K189)^-1.54794763569524),))))))</f>
        <v>1.3951385535022496</v>
      </c>
      <c r="AM192">
        <f>IF($K191=90,48.8278467851456 - 47.806959580207*EXP(-0.277239618115161*($K190/$K189)^-1.54747755889509),IF($K191=75,50.1417823050971 - 49.1135860314465*EXP(-0.301530732764457*($K190/$K189)^-1.54561444953472),IF($K191=60,54.7760811257494 - 53.7540574575869*EXP(-0.304630071575136*($K190/$K189)^-1.55407754771893),IF($K191=45,43.1114956669904 - 42.081470426847*EXP(-0.421774530709856*($K190/$K189)^-1.56548181659313),IF($K191=30,83.6300898181698 - 82.5595081919206*EXP(-0.232275883030308*($K190/$K189)^-1.58789653739729),IF($K191=15,107.103583610419 - 106.022180533241*EXP(-0.173822505110446*($K190/$K189)^-1.54794763569524),))))))</f>
        <v>1.3951385535022496</v>
      </c>
      <c r="AN192">
        <f>IF($K191=90,48.8278467851456 - 47.806959580207*EXP(-0.277239618115161*($K190/$K189)^-1.54747755889509),IF($K191=75,50.1417823050971 - 49.1135860314465*EXP(-0.301530732764457*($K190/$K189)^-1.54561444953472),IF($K191=60,54.7760811257494 - 53.7540574575869*EXP(-0.304630071575136*($K190/$K189)^-1.55407754771893),IF($K191=45,43.1114956669904 - 42.081470426847*EXP(-0.421774530709856*($K190/$K189)^-1.56548181659313),IF($K191=30,83.6300898181698 - 82.5595081919206*EXP(-0.232275883030308*($K190/$K189)^-1.58789653739729),IF($K191=15,107.103583610419 - 106.022180533241*EXP(-0.173822505110446*($K190/$K189)^-1.54794763569524),))))))</f>
        <v>1.3951385535022496</v>
      </c>
      <c r="AQ192">
        <v>169</v>
      </c>
      <c r="AR192" s="14">
        <v>4.2630655749298594</v>
      </c>
      <c r="AS192" s="13">
        <f t="shared" si="41"/>
        <v>41732.629901969129</v>
      </c>
      <c r="AT192" s="9">
        <v>3.355722980337704</v>
      </c>
      <c r="AU192" s="13">
        <f t="shared" si="42"/>
        <v>32850.338032689157</v>
      </c>
    </row>
    <row r="193" spans="1:47" x14ac:dyDescent="0.35">
      <c r="A193">
        <f t="shared" si="37"/>
        <v>170</v>
      </c>
      <c r="B193" s="13">
        <f t="shared" si="38"/>
        <v>41677.006912791265</v>
      </c>
      <c r="F193">
        <f t="shared" si="39"/>
        <v>170</v>
      </c>
      <c r="G193" s="13">
        <f t="shared" si="40"/>
        <v>32824.390074447598</v>
      </c>
      <c r="I193" s="1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AB193">
        <f>IF(AND($J132="Schlauch 8 mm 0,5 Meter",M$19*1000^2/($M$16*($K77/2000)^2*PI())*($K77/1000)/$O$16&gt;1000),2.3,IF(AND($J132="Schlauch 10 mm 0,5 Meter",M$19*1000^2/($M$16*($K77/2000)^2*PI())*($K77/1000)/$O$16&gt;1000),2.3,IF(AND($J132="Schlauch 13 mm 0,5 Meter",M$19*1000^2/($M$16*($K77/2000)^2*PI())*($K77/1000)/$O$16&gt;1000),2.3,1)))</f>
        <v>1</v>
      </c>
      <c r="AC193">
        <f>IF(AND($J132="Schlauch 8 mm 0,5 Meter",N$19*1000^2/($M$16*($K77/2000)^2*PI())*($K77/1000)/$O$16&gt;1000),2.3,IF(AND($J132="Schlauch 10 mm 0,5 Meter",N$19*1000^2/($M$16*($K77/2000)^2*PI())*($K77/1000)/$O$16&gt;1000),2.3,IF(AND($J132="Schlauch 13 mm 0,5 Meter",N$19*1000^2/($M$16*($K77/2000)^2*PI())*($K77/1000)/$O$16&gt;1000),2.3,1)))</f>
        <v>2.2999999999999998</v>
      </c>
      <c r="AD193">
        <f>IF(AND($J132="Schlauch 8 mm 0,5 Meter",O$19*1000^2/($M$16*($K77/2000)^2*PI())*($K77/1000)/$O$16&gt;1000),2.3,IF(AND($J132="Schlauch 10 mm 0,5 Meter",O$19*1000^2/($M$16*($K77/2000)^2*PI())*($K77/1000)/$O$16&gt;1000),2.3,IF(AND($J132="Schlauch 13 mm 0,5 Meter",O$19*1000^2/($M$16*($K77/2000)^2*PI())*($K77/1000)/$O$16&gt;1000),2.3,1)))</f>
        <v>2.2999999999999998</v>
      </c>
      <c r="AE193">
        <f>IF(AND($J132="Schlauch 8 mm 0,5 Meter",P$19*1000^2/($M$16*($K77/2000)^2*PI())*($K77/1000)/$O$16&gt;1000),2.3,IF(AND($J132="Schlauch 10 mm 0,5 Meter",P$19*1000^2/($M$16*($K77/2000)^2*PI())*($K77/1000)/$O$16&gt;1000),2.3,IF(AND($J132="Schlauch 13 mm 0,5 Meter",P$19*1000^2/($M$16*($K77/2000)^2*PI())*($K77/1000)/$O$16&gt;1000),2.3,1)))</f>
        <v>2.2999999999999998</v>
      </c>
      <c r="AF193">
        <f>IF(AND($J132="Schlauch 8 mm 0,5 Meter",Q$19*1000^2/($M$16*($K77/2000)^2*PI())*($K77/1000)/$O$16&gt;1000),2.3,IF(AND($J132="Schlauch 10 mm 0,5 Meter",Q$19*1000^2/($M$16*($K77/2000)^2*PI())*($K77/1000)/$O$16&gt;1000),2.3,IF(AND($J132="Schlauch 13 mm 0,5 Meter",Q$19*1000^2/($M$16*($K77/2000)^2*PI())*($K77/1000)/$O$16&gt;1000),2.3,1)))</f>
        <v>2.2999999999999998</v>
      </c>
      <c r="AG193">
        <f>IF(AND($J132="Schlauch 8 mm 0,5 Meter",R$19*1000^2/($M$16*($K77/2000)^2*PI())*($K77/1000)/$O$16&gt;1000),2.3,IF(AND($J132="Schlauch 10 mm 0,5 Meter",R$19*1000^2/($M$16*($K77/2000)^2*PI())*($K77/1000)/$O$16&gt;1000),2.3,IF(AND($J132="Schlauch 13 mm 0,5 Meter",R$19*1000^2/($M$16*($K77/2000)^2*PI())*($K77/1000)/$O$16&gt;1000),2.3,1)))</f>
        <v>2.2999999999999998</v>
      </c>
      <c r="AH193">
        <f>IF(AND($J132="Schlauch 8 mm 0,5 Meter",S$19*1000^2/($M$16*($K77/2000)^2*PI())*($K77/1000)/$O$16&gt;1000),2.3,IF(AND($J132="Schlauch 10 mm 0,5 Meter",S$19*1000^2/($M$16*($K77/2000)^2*PI())*($K77/1000)/$O$16&gt;1000),2.3,IF(AND($J132="Schlauch 13 mm 0,5 Meter",S$19*1000^2/($M$16*($K77/2000)^2*PI())*($K77/1000)/$O$16&gt;1000),2.3,1)))</f>
        <v>2.2999999999999998</v>
      </c>
      <c r="AI193">
        <f>IF(AND($J132="Schlauch 8 mm 0,5 Meter",T$19*1000^2/($M$16*($K77/2000)^2*PI())*($K77/1000)/$O$16&gt;1000),2.3,IF(AND($J132="Schlauch 10 mm 0,5 Meter",T$19*1000^2/($M$16*($K77/2000)^2*PI())*($K77/1000)/$O$16&gt;1000),2.3,IF(AND($J132="Schlauch 13 mm 0,5 Meter",T$19*1000^2/($M$16*($K77/2000)^2*PI())*($K77/1000)/$O$16&gt;1000),2.3,1)))</f>
        <v>2.2999999999999998</v>
      </c>
      <c r="AJ193">
        <f>IF(AND($J132="Schlauch 8 mm 0,5 Meter",U$19*1000^2/($M$16*($K77/2000)^2*PI())*($K77/1000)/$O$16&gt;1000),2.3,IF(AND($J132="Schlauch 10 mm 0,5 Meter",U$19*1000^2/($M$16*($K77/2000)^2*PI())*($K77/1000)/$O$16&gt;1000),2.3,IF(AND($J132="Schlauch 13 mm 0,5 Meter",U$19*1000^2/($M$16*($K77/2000)^2*PI())*($K77/1000)/$O$16&gt;1000),2.3,1)))</f>
        <v>2.2999999999999998</v>
      </c>
      <c r="AK193">
        <f>IF(AND($J132="Schlauch 8 mm 0,5 Meter",V$19*1000^2/($M$16*($K77/2000)^2*PI())*($K77/1000)/$O$16&gt;1000),2.3,IF(AND($J132="Schlauch 10 mm 0,5 Meter",V$19*1000^2/($M$16*($K77/2000)^2*PI())*($K77/1000)/$O$16&gt;1000),2.3,IF(AND($J132="Schlauch 13 mm 0,5 Meter",V$19*1000^2/($M$16*($K77/2000)^2*PI())*($K77/1000)/$O$16&gt;1000),2.3,1)))</f>
        <v>2.2999999999999998</v>
      </c>
      <c r="AL193">
        <f>IF(AND($J132="Schlauch 8 mm 0,5 Meter",W$19*1000^2/($M$16*($K77/2000)^2*PI())*($K77/1000)/$O$16&gt;1000),2.3,IF(AND($J132="Schlauch 10 mm 0,5 Meter",W$19*1000^2/($M$16*($K77/2000)^2*PI())*($K77/1000)/$O$16&gt;1000),2.3,IF(AND($J132="Schlauch 13 mm 0,5 Meter",W$19*1000^2/($M$16*($K77/2000)^2*PI())*($K77/1000)/$O$16&gt;1000),2.3,1)))</f>
        <v>2.2999999999999998</v>
      </c>
      <c r="AM193">
        <f>IF(AND($J132="Schlauch 8 mm 0,5 Meter",X$19*1000^2/($M$16*($K77/2000)^2*PI())*($K77/1000)/$O$16&gt;1000),2.3,IF(AND($J132="Schlauch 10 mm 0,5 Meter",X$19*1000^2/($M$16*($K77/2000)^2*PI())*($K77/1000)/$O$16&gt;1000),2.3,IF(AND($J132="Schlauch 13 mm 0,5 Meter",X$19*1000^2/($M$16*($K77/2000)^2*PI())*($K77/1000)/$O$16&gt;1000),2.3,1)))</f>
        <v>2.2999999999999998</v>
      </c>
      <c r="AN193">
        <f>IF(AND($J132="Schlauch 8 mm 0,5 Meter",Y$19*1000^2/($M$16*($K77/2000)^2*PI())*($K77/1000)/$O$16&gt;1000),2.3,IF(AND($J132="Schlauch 10 mm 0,5 Meter",Y$19*1000^2/($M$16*($K77/2000)^2*PI())*($K77/1000)/$O$16&gt;1000),2.3,IF(AND($J132="Schlauch 13 mm 0,5 Meter",Y$19*1000^2/($M$16*($K77/2000)^2*PI())*($K77/1000)/$O$16&gt;1000),2.3,1)))</f>
        <v>2.2999999999999998</v>
      </c>
      <c r="AQ193">
        <v>170</v>
      </c>
      <c r="AR193" s="14">
        <v>4.2573835833828166</v>
      </c>
      <c r="AS193" s="13">
        <f t="shared" si="41"/>
        <v>41677.006912791265</v>
      </c>
      <c r="AT193" s="9">
        <v>3.3530723482596594</v>
      </c>
      <c r="AU193" s="13">
        <f t="shared" si="42"/>
        <v>32824.390074447598</v>
      </c>
    </row>
    <row r="194" spans="1:47" x14ac:dyDescent="0.35">
      <c r="A194">
        <f t="shared" si="37"/>
        <v>171</v>
      </c>
      <c r="B194" s="13">
        <f t="shared" si="38"/>
        <v>41620.993195824762</v>
      </c>
      <c r="F194">
        <f t="shared" si="39"/>
        <v>171</v>
      </c>
      <c r="G194" s="13">
        <f t="shared" si="40"/>
        <v>32798.396285039453</v>
      </c>
      <c r="I194" s="1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AQ194">
        <v>171</v>
      </c>
      <c r="AR194" s="14">
        <v>4.2516616782672108</v>
      </c>
      <c r="AS194" s="13">
        <f t="shared" si="41"/>
        <v>41620.993195824762</v>
      </c>
      <c r="AT194" s="9">
        <v>3.3504170344429141</v>
      </c>
      <c r="AU194" s="13">
        <f t="shared" si="42"/>
        <v>32798.396285039453</v>
      </c>
    </row>
    <row r="195" spans="1:47" x14ac:dyDescent="0.35">
      <c r="A195">
        <f t="shared" si="37"/>
        <v>172</v>
      </c>
      <c r="B195" s="13">
        <f t="shared" si="38"/>
        <v>41564.588315408539</v>
      </c>
      <c r="F195">
        <f t="shared" si="39"/>
        <v>172</v>
      </c>
      <c r="G195" s="13">
        <f t="shared" si="40"/>
        <v>32772.356852244513</v>
      </c>
      <c r="I195" s="1">
        <v>8</v>
      </c>
      <c r="J195" t="s">
        <v>69</v>
      </c>
      <c r="K195">
        <f>K133</f>
        <v>10</v>
      </c>
      <c r="L195" t="s">
        <v>70</v>
      </c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AQ195">
        <v>172</v>
      </c>
      <c r="AR195" s="14">
        <v>4.2458998150794542</v>
      </c>
      <c r="AS195" s="13">
        <f t="shared" si="41"/>
        <v>41564.588315408539</v>
      </c>
      <c r="AT195" s="9">
        <v>3.3477570580695208</v>
      </c>
      <c r="AU195" s="13">
        <f t="shared" si="42"/>
        <v>32772.356852244513</v>
      </c>
    </row>
    <row r="196" spans="1:47" x14ac:dyDescent="0.35">
      <c r="A196">
        <f t="shared" si="37"/>
        <v>173</v>
      </c>
      <c r="B196" s="13">
        <f t="shared" si="38"/>
        <v>41507.791837940291</v>
      </c>
      <c r="F196">
        <f t="shared" si="39"/>
        <v>173</v>
      </c>
      <c r="G196" s="13">
        <f t="shared" si="40"/>
        <v>32746.271961984941</v>
      </c>
      <c r="I196" s="1"/>
      <c r="J196" t="s">
        <v>71</v>
      </c>
      <c r="K196">
        <v>100</v>
      </c>
      <c r="L196" t="s">
        <v>70</v>
      </c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AQ196">
        <v>173</v>
      </c>
      <c r="AR196" s="14">
        <v>4.2400979495262661</v>
      </c>
      <c r="AS196" s="13">
        <f t="shared" si="41"/>
        <v>41507.791837940291</v>
      </c>
      <c r="AT196" s="9">
        <v>3.3450924381317737</v>
      </c>
      <c r="AU196" s="13">
        <f t="shared" si="42"/>
        <v>32746.271961984941</v>
      </c>
    </row>
    <row r="197" spans="1:47" x14ac:dyDescent="0.35">
      <c r="A197">
        <f t="shared" si="37"/>
        <v>174</v>
      </c>
      <c r="B197" s="13">
        <f t="shared" si="38"/>
        <v>41450.603331854953</v>
      </c>
      <c r="F197">
        <f t="shared" si="39"/>
        <v>174</v>
      </c>
      <c r="G197" s="13">
        <f t="shared" si="40"/>
        <v>32720.141798354307</v>
      </c>
      <c r="I197" s="1"/>
      <c r="J197" t="s">
        <v>72</v>
      </c>
      <c r="K197">
        <v>90</v>
      </c>
      <c r="L197" t="s">
        <v>73</v>
      </c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AQ197">
        <v>174</v>
      </c>
      <c r="AR197" s="14">
        <v>4.2342560375224751</v>
      </c>
      <c r="AS197" s="13">
        <f t="shared" si="41"/>
        <v>41450.603331854953</v>
      </c>
      <c r="AT197" s="9">
        <v>3.3424231934351725</v>
      </c>
      <c r="AU197" s="13">
        <f t="shared" si="42"/>
        <v>32720.141798354307</v>
      </c>
    </row>
    <row r="198" spans="1:47" x14ac:dyDescent="0.35">
      <c r="A198">
        <f t="shared" si="37"/>
        <v>175</v>
      </c>
      <c r="B198" s="13">
        <f t="shared" si="38"/>
        <v>41393.022367603327</v>
      </c>
      <c r="F198">
        <f t="shared" si="39"/>
        <v>175</v>
      </c>
      <c r="G198" s="13">
        <f t="shared" si="40"/>
        <v>32693.966543645965</v>
      </c>
      <c r="I198" s="1"/>
      <c r="J198" t="s">
        <v>76</v>
      </c>
      <c r="L198" s="4" t="s">
        <v>12</v>
      </c>
      <c r="M198" s="1">
        <v>0</v>
      </c>
      <c r="N198" s="10">
        <f>IF(N$19*1000^2/($M$16*($K195/2000)^2*PI())*($K195/1000)/$O$16&lt;2320,(64*PI()*$K196*($K197/180)*1000*$M$16*(N$19/($M$16*($K195/2000)^2*PI()))^2)/((N$19*1000^2/($M$16*($K195/2000)^2*PI())*($K195/1000)/$O$16)*1000*$K195*2)*AC198*AC199,(0.3164*PI()*$K196*($K197/180)*1000*$M$16*(N$19/($M$16*($K195/2000)^2*PI()))^2)/(((N$19*1000^2/($M$16*($K195/2000)^2*PI())*($K195/1000)/$O$16))^0.25*1000*$K195*2)*AC198*AC199)</f>
        <v>11.897974921284195</v>
      </c>
      <c r="O198" s="10">
        <f>IF(O$19*1000^2/($M$16*($K195/2000)^2*PI())*($K195/1000)/$O$16&lt;2320,(64*PI()*$K196*($K197/180)*1000*$M$16*(O$19/($M$16*($K195/2000)^2*PI()))^2)/((O$19*1000^2/($M$16*($K195/2000)^2*PI())*($K195/1000)/$O$16)*1000*$K195*2)*AD198*AD199,(0.3164*PI()*$K196*($K197/180)*1000*$M$16*(O$19/($M$16*($K195/2000)^2*PI()))^2)/(((O$19*1000^2/($M$16*($K195/2000)^2*PI())*($K195/1000)/$O$16))^0.25*1000*$K195*2)*AD198*AD199)</f>
        <v>36.132670246802761</v>
      </c>
      <c r="P198" s="10">
        <f>IF(P$19*1000^2/($M$16*($K195/2000)^2*PI())*($K195/1000)/$O$16&lt;2320,(64*PI()*$K196*($K197/180)*1000*$M$16*(P$19/($M$16*($K195/2000)^2*PI()))^2)/((P$19*1000^2/($M$16*($K195/2000)^2*PI())*($K195/1000)/$O$16)*1000*$K195*2)*AE198*AE199,(0.3164*PI()*$K196*($K197/180)*1000*$M$16*(P$19/($M$16*($K195/2000)^2*PI()))^2)/(((P$19*1000^2/($M$16*($K195/2000)^2*PI())*($K195/1000)/$O$16))^0.25*1000*$K195*2)*AE198*AE199)</f>
        <v>67.449461636808977</v>
      </c>
      <c r="Q198" s="10">
        <f>IF(Q$19*1000^2/($M$16*($K195/2000)^2*PI())*($K195/1000)/$O$16&lt;2320,(64*PI()*$K196*($K197/180)*1000*$M$16*(Q$19/($M$16*($K195/2000)^2*PI()))^2)/((Q$19*1000^2/($M$16*($K195/2000)^2*PI())*($K195/1000)/$O$16)*1000*$K195*2)*AF198*AF199,(0.3164*PI()*$K196*($K197/180)*1000*$M$16*(Q$19/($M$16*($K195/2000)^2*PI()))^2)/(((Q$19*1000^2/($M$16*($K195/2000)^2*PI())*($K195/1000)/$O$16))^0.25*1000*$K195*2)*AF198*AF199)</f>
        <v>106.75281948278872</v>
      </c>
      <c r="R198" s="10">
        <f>IF(R$19*1000^2/($M$16*($K195/2000)^2*PI())*($K195/1000)/$O$16&lt;2320,(64*PI()*$K196*($K197/180)*1000*$M$16*(R$19/($M$16*($K195/2000)^2*PI()))^2)/((R$19*1000^2/($M$16*($K195/2000)^2*PI())*($K195/1000)/$O$16)*1000*$K195*2)*AG198*AG199,(0.3164*PI()*$K196*($K197/180)*1000*$M$16*(R$19/($M$16*($K195/2000)^2*PI()))^2)/(((R$19*1000^2/($M$16*($K195/2000)^2*PI())*($K195/1000)/$O$16))^0.25*1000*$K195*2)*AG198*AG199)</f>
        <v>153.52830572409292</v>
      </c>
      <c r="S198" s="10">
        <f>IF(S$19*1000^2/($M$16*($K195/2000)^2*PI())*($K195/1000)/$O$16&lt;2320,(64*PI()*$K196*($K197/180)*1000*$M$16*(S$19/($M$16*($K195/2000)^2*PI()))^2)/((S$19*1000^2/($M$16*($K195/2000)^2*PI())*($K195/1000)/$O$16)*1000*$K195*2)*AH198*AH199,(0.3164*PI()*$K196*($K197/180)*1000*$M$16*(S$19/($M$16*($K195/2000)^2*PI()))^2)/(((S$19*1000^2/($M$16*($K195/2000)^2*PI())*($K195/1000)/$O$16))^0.25*1000*$K195*2)*AH198*AH199)</f>
        <v>207.39452594935204</v>
      </c>
      <c r="T198" s="10">
        <f>IF(T$19*1000^2/($M$16*($K195/2000)^2*PI())*($K195/1000)/$O$16&lt;2320,(64*PI()*$K196*($K197/180)*1000*$M$16*(T$19/($M$16*($K195/2000)^2*PI()))^2)/((T$19*1000^2/($M$16*($K195/2000)^2*PI())*($K195/1000)/$O$16)*1000*$K195*2)*AI198*AI199,(0.3164*PI()*$K196*($K197/180)*1000*$M$16*(T$19/($M$16*($K195/2000)^2*PI()))^2)/(((T$19*1000^2/($M$16*($K195/2000)^2*PI())*($K195/1000)/$O$16))^0.25*1000*$K195*2)*AI198*AI199)</f>
        <v>268.05146123098319</v>
      </c>
      <c r="U198" s="10">
        <f>IF(U$19*1000^2/($M$16*($K195/2000)^2*PI())*($K195/1000)/$O$16&lt;2320,(64*PI()*$K196*($K197/180)*1000*$M$16*(U$19/($M$16*($K195/2000)^2*PI()))^2)/((U$19*1000^2/($M$16*($K195/2000)^2*PI())*($K195/1000)/$O$16)*1000*$K195*2)*AJ198*AJ199,(0.3164*PI()*$K196*($K197/180)*1000*$M$16*(U$19/($M$16*($K195/2000)^2*PI()))^2)/(((U$19*1000^2/($M$16*($K195/2000)^2*PI())*($K195/1000)/$O$16))^0.25*1000*$K195*2)*AJ198*AJ199)</f>
        <v>335.25364069281437</v>
      </c>
      <c r="V198" s="10">
        <f>IF(V$19*1000^2/($M$16*($K195/2000)^2*PI())*($K195/1000)/$O$16&lt;2320,(64*PI()*$K196*($K197/180)*1000*$M$16*(V$19/($M$16*($K195/2000)^2*PI()))^2)/((V$19*1000^2/($M$16*($K195/2000)^2*PI())*($K195/1000)/$O$16)*1000*$K195*2)*AK198*AK199,(0.3164*PI()*$K196*($K197/180)*1000*$M$16*(V$19/($M$16*($K195/2000)^2*PI()))^2)/(((V$19*1000^2/($M$16*($K195/2000)^2*PI())*($K195/1000)/$O$16))^0.25*1000*$K195*2)*AK198*AK199)</f>
        <v>408.79449846226629</v>
      </c>
      <c r="W198" s="10">
        <f>IF(W$19*1000^2/($M$16*($K195/2000)^2*PI())*($K195/1000)/$O$16&lt;2320,(64*PI()*$K196*($K197/180)*1000*$M$16*(W$19/($M$16*($K195/2000)^2*PI()))^2)/((W$19*1000^2/($M$16*($K195/2000)^2*PI())*($K195/1000)/$O$16)*1000*$K195*2)*AL198*AL199,(0.3164*PI()*$K196*($K197/180)*1000*$M$16*(W$19/($M$16*($K195/2000)^2*PI()))^2)/(((W$19*1000^2/($M$16*($K195/2000)^2*PI())*($K195/1000)/$O$16))^0.25*1000*$K195*2)*AL198*AL199)</f>
        <v>488.49649482243501</v>
      </c>
      <c r="X198" s="10">
        <f>IF(X$19*1000^2/($M$16*($K195/2000)^2*PI())*($K195/1000)/$O$16&lt;2320,(64*PI()*$K196*($K197/180)*1000*$M$16*(X$19/($M$16*($K195/2000)^2*PI()))^2)/((X$19*1000^2/($M$16*($K195/2000)^2*PI())*($K195/1000)/$O$16)*1000*$K195*2)*AM198*AM199,(0.3164*PI()*$K196*($K197/180)*1000*$M$16*(X$19/($M$16*($K195/2000)^2*PI()))^2)/(((X$19*1000^2/($M$16*($K195/2000)^2*PI())*($K195/1000)/$O$16))^0.25*1000*$K195*2)*AM198*AM199)</f>
        <v>574.20450094769126</v>
      </c>
      <c r="Y198" s="10">
        <f>IF(Y$19*1000^2/($M$16*($K195/2000)^2*PI())*($K195/1000)/$O$16&lt;2320,(64*PI()*$K196*($K197/180)*1000*$M$16*(Y$19/($M$16*($K195/2000)^2*PI()))^2)/((Y$19*1000^2/($M$16*($K195/2000)^2*PI())*($K195/1000)/$O$16)*1000*$K195*2)*AN198*AN199,(0.3164*PI()*$K196*($K197/180)*1000*$M$16*(Y$19/($M$16*($K195/2000)^2*PI()))^2)/(((Y$19*1000^2/($M$16*($K195/2000)^2*PI())*($K195/1000)/$O$16))^0.25*1000*$K195*2)*AN198*AN199)</f>
        <v>665.78116492122876</v>
      </c>
      <c r="AB198">
        <f>IF($K197=90,48.8278467851456 - 47.806959580207*EXP(-0.277239618115161*($K196/$K195)^-1.54747755889509),IF($K197=75,50.1417823050971 - 49.1135860314465*EXP(-0.301530732764457*($K196/$K195)^-1.54561444953472),IF($K197=60,54.7760811257494 - 53.7540574575869*EXP(-0.304630071575136*($K196/$K195)^-1.55407754771893),IF($K197=45,43.1114956669904 - 42.081470426847*EXP(-0.421774530709856*($K196/$K195)^-1.56548181659313),IF($K197=30,83.6300898181698 - 82.5595081919206*EXP(-0.232275883030308*($K196/$K195)^-1.58789653739729),IF($K197=15,107.103583610419 - 106.022180533241*EXP(-0.173822505110446*($K196/$K195)^-1.54794763569524),))))))</f>
        <v>1.3951385535022496</v>
      </c>
      <c r="AC198">
        <f>IF($K197=90,48.8278467851456 - 47.806959580207*EXP(-0.277239618115161*($K196/$K195)^-1.54747755889509),IF($K197=75,50.1417823050971 - 49.1135860314465*EXP(-0.301530732764457*($K196/$K195)^-1.54561444953472),IF($K197=60,54.7760811257494 - 53.7540574575869*EXP(-0.304630071575136*($K196/$K195)^-1.55407754771893),IF($K197=45,43.1114956669904 - 42.081470426847*EXP(-0.421774530709856*($K196/$K195)^-1.56548181659313),IF($K197=30,83.6300898181698 - 82.5595081919206*EXP(-0.232275883030308*($K196/$K195)^-1.58789653739729),IF($K197=15,107.103583610419 - 106.022180533241*EXP(-0.173822505110446*($K196/$K195)^-1.54794763569524),))))))</f>
        <v>1.3951385535022496</v>
      </c>
      <c r="AD198">
        <f>IF($K197=90,48.8278467851456 - 47.806959580207*EXP(-0.277239618115161*($K196/$K195)^-1.54747755889509),IF($K197=75,50.1417823050971 - 49.1135860314465*EXP(-0.301530732764457*($K196/$K195)^-1.54561444953472),IF($K197=60,54.7760811257494 - 53.7540574575869*EXP(-0.304630071575136*($K196/$K195)^-1.55407754771893),IF($K197=45,43.1114956669904 - 42.081470426847*EXP(-0.421774530709856*($K196/$K195)^-1.56548181659313),IF($K197=30,83.6300898181698 - 82.5595081919206*EXP(-0.232275883030308*($K196/$K195)^-1.58789653739729),IF($K197=15,107.103583610419 - 106.022180533241*EXP(-0.173822505110446*($K196/$K195)^-1.54794763569524),))))))</f>
        <v>1.3951385535022496</v>
      </c>
      <c r="AE198">
        <f>IF($K197=90,48.8278467851456 - 47.806959580207*EXP(-0.277239618115161*($K196/$K195)^-1.54747755889509),IF($K197=75,50.1417823050971 - 49.1135860314465*EXP(-0.301530732764457*($K196/$K195)^-1.54561444953472),IF($K197=60,54.7760811257494 - 53.7540574575869*EXP(-0.304630071575136*($K196/$K195)^-1.55407754771893),IF($K197=45,43.1114956669904 - 42.081470426847*EXP(-0.421774530709856*($K196/$K195)^-1.56548181659313),IF($K197=30,83.6300898181698 - 82.5595081919206*EXP(-0.232275883030308*($K196/$K195)^-1.58789653739729),IF($K197=15,107.103583610419 - 106.022180533241*EXP(-0.173822505110446*($K196/$K195)^-1.54794763569524),))))))</f>
        <v>1.3951385535022496</v>
      </c>
      <c r="AF198">
        <f>IF($K197=90,48.8278467851456 - 47.806959580207*EXP(-0.277239618115161*($K196/$K195)^-1.54747755889509),IF($K197=75,50.1417823050971 - 49.1135860314465*EXP(-0.301530732764457*($K196/$K195)^-1.54561444953472),IF($K197=60,54.7760811257494 - 53.7540574575869*EXP(-0.304630071575136*($K196/$K195)^-1.55407754771893),IF($K197=45,43.1114956669904 - 42.081470426847*EXP(-0.421774530709856*($K196/$K195)^-1.56548181659313),IF($K197=30,83.6300898181698 - 82.5595081919206*EXP(-0.232275883030308*($K196/$K195)^-1.58789653739729),IF($K197=15,107.103583610419 - 106.022180533241*EXP(-0.173822505110446*($K196/$K195)^-1.54794763569524),))))))</f>
        <v>1.3951385535022496</v>
      </c>
      <c r="AG198">
        <f>IF($K197=90,48.8278467851456 - 47.806959580207*EXP(-0.277239618115161*($K196/$K195)^-1.54747755889509),IF($K197=75,50.1417823050971 - 49.1135860314465*EXP(-0.301530732764457*($K196/$K195)^-1.54561444953472),IF($K197=60,54.7760811257494 - 53.7540574575869*EXP(-0.304630071575136*($K196/$K195)^-1.55407754771893),IF($K197=45,43.1114956669904 - 42.081470426847*EXP(-0.421774530709856*($K196/$K195)^-1.56548181659313),IF($K197=30,83.6300898181698 - 82.5595081919206*EXP(-0.232275883030308*($K196/$K195)^-1.58789653739729),IF($K197=15,107.103583610419 - 106.022180533241*EXP(-0.173822505110446*($K196/$K195)^-1.54794763569524),))))))</f>
        <v>1.3951385535022496</v>
      </c>
      <c r="AH198">
        <f>IF($K197=90,48.8278467851456 - 47.806959580207*EXP(-0.277239618115161*($K196/$K195)^-1.54747755889509),IF($K197=75,50.1417823050971 - 49.1135860314465*EXP(-0.301530732764457*($K196/$K195)^-1.54561444953472),IF($K197=60,54.7760811257494 - 53.7540574575869*EXP(-0.304630071575136*($K196/$K195)^-1.55407754771893),IF($K197=45,43.1114956669904 - 42.081470426847*EXP(-0.421774530709856*($K196/$K195)^-1.56548181659313),IF($K197=30,83.6300898181698 - 82.5595081919206*EXP(-0.232275883030308*($K196/$K195)^-1.58789653739729),IF($K197=15,107.103583610419 - 106.022180533241*EXP(-0.173822505110446*($K196/$K195)^-1.54794763569524),))))))</f>
        <v>1.3951385535022496</v>
      </c>
      <c r="AI198">
        <f>IF($K197=90,48.8278467851456 - 47.806959580207*EXP(-0.277239618115161*($K196/$K195)^-1.54747755889509),IF($K197=75,50.1417823050971 - 49.1135860314465*EXP(-0.301530732764457*($K196/$K195)^-1.54561444953472),IF($K197=60,54.7760811257494 - 53.7540574575869*EXP(-0.304630071575136*($K196/$K195)^-1.55407754771893),IF($K197=45,43.1114956669904 - 42.081470426847*EXP(-0.421774530709856*($K196/$K195)^-1.56548181659313),IF($K197=30,83.6300898181698 - 82.5595081919206*EXP(-0.232275883030308*($K196/$K195)^-1.58789653739729),IF($K197=15,107.103583610419 - 106.022180533241*EXP(-0.173822505110446*($K196/$K195)^-1.54794763569524),))))))</f>
        <v>1.3951385535022496</v>
      </c>
      <c r="AJ198">
        <f>IF($K197=90,48.8278467851456 - 47.806959580207*EXP(-0.277239618115161*($K196/$K195)^-1.54747755889509),IF($K197=75,50.1417823050971 - 49.1135860314465*EXP(-0.301530732764457*($K196/$K195)^-1.54561444953472),IF($K197=60,54.7760811257494 - 53.7540574575869*EXP(-0.304630071575136*($K196/$K195)^-1.55407754771893),IF($K197=45,43.1114956669904 - 42.081470426847*EXP(-0.421774530709856*($K196/$K195)^-1.56548181659313),IF($K197=30,83.6300898181698 - 82.5595081919206*EXP(-0.232275883030308*($K196/$K195)^-1.58789653739729),IF($K197=15,107.103583610419 - 106.022180533241*EXP(-0.173822505110446*($K196/$K195)^-1.54794763569524),))))))</f>
        <v>1.3951385535022496</v>
      </c>
      <c r="AK198">
        <f>IF($K197=90,48.8278467851456 - 47.806959580207*EXP(-0.277239618115161*($K196/$K195)^-1.54747755889509),IF($K197=75,50.1417823050971 - 49.1135860314465*EXP(-0.301530732764457*($K196/$K195)^-1.54561444953472),IF($K197=60,54.7760811257494 - 53.7540574575869*EXP(-0.304630071575136*($K196/$K195)^-1.55407754771893),IF($K197=45,43.1114956669904 - 42.081470426847*EXP(-0.421774530709856*($K196/$K195)^-1.56548181659313),IF($K197=30,83.6300898181698 - 82.5595081919206*EXP(-0.232275883030308*($K196/$K195)^-1.58789653739729),IF($K197=15,107.103583610419 - 106.022180533241*EXP(-0.173822505110446*($K196/$K195)^-1.54794763569524),))))))</f>
        <v>1.3951385535022496</v>
      </c>
      <c r="AL198">
        <f>IF($K197=90,48.8278467851456 - 47.806959580207*EXP(-0.277239618115161*($K196/$K195)^-1.54747755889509),IF($K197=75,50.1417823050971 - 49.1135860314465*EXP(-0.301530732764457*($K196/$K195)^-1.54561444953472),IF($K197=60,54.7760811257494 - 53.7540574575869*EXP(-0.304630071575136*($K196/$K195)^-1.55407754771893),IF($K197=45,43.1114956669904 - 42.081470426847*EXP(-0.421774530709856*($K196/$K195)^-1.56548181659313),IF($K197=30,83.6300898181698 - 82.5595081919206*EXP(-0.232275883030308*($K196/$K195)^-1.58789653739729),IF($K197=15,107.103583610419 - 106.022180533241*EXP(-0.173822505110446*($K196/$K195)^-1.54794763569524),))))))</f>
        <v>1.3951385535022496</v>
      </c>
      <c r="AM198">
        <f>IF($K197=90,48.8278467851456 - 47.806959580207*EXP(-0.277239618115161*($K196/$K195)^-1.54747755889509),IF($K197=75,50.1417823050971 - 49.1135860314465*EXP(-0.301530732764457*($K196/$K195)^-1.54561444953472),IF($K197=60,54.7760811257494 - 53.7540574575869*EXP(-0.304630071575136*($K196/$K195)^-1.55407754771893),IF($K197=45,43.1114956669904 - 42.081470426847*EXP(-0.421774530709856*($K196/$K195)^-1.56548181659313),IF($K197=30,83.6300898181698 - 82.5595081919206*EXP(-0.232275883030308*($K196/$K195)^-1.58789653739729),IF($K197=15,107.103583610419 - 106.022180533241*EXP(-0.173822505110446*($K196/$K195)^-1.54794763569524),))))))</f>
        <v>1.3951385535022496</v>
      </c>
      <c r="AN198">
        <f>IF($K197=90,48.8278467851456 - 47.806959580207*EXP(-0.277239618115161*($K196/$K195)^-1.54747755889509),IF($K197=75,50.1417823050971 - 49.1135860314465*EXP(-0.301530732764457*($K196/$K195)^-1.54561444953472),IF($K197=60,54.7760811257494 - 53.7540574575869*EXP(-0.304630071575136*($K196/$K195)^-1.55407754771893),IF($K197=45,43.1114956669904 - 42.081470426847*EXP(-0.421774530709856*($K196/$K195)^-1.56548181659313),IF($K197=30,83.6300898181698 - 82.5595081919206*EXP(-0.232275883030308*($K196/$K195)^-1.58789653739729),IF($K197=15,107.103583610419 - 106.022180533241*EXP(-0.173822505110446*($K196/$K195)^-1.54794763569524),))))))</f>
        <v>1.3951385535022496</v>
      </c>
      <c r="AQ198">
        <v>175</v>
      </c>
      <c r="AR198" s="14">
        <v>4.2283740351888346</v>
      </c>
      <c r="AS198" s="13">
        <f t="shared" si="41"/>
        <v>41393.022367603327</v>
      </c>
      <c r="AT198" s="9">
        <v>3.3397493426013223</v>
      </c>
      <c r="AU198" s="13">
        <f t="shared" si="42"/>
        <v>32693.966543645965</v>
      </c>
    </row>
    <row r="199" spans="1:47" x14ac:dyDescent="0.35">
      <c r="A199">
        <f t="shared" si="37"/>
        <v>176</v>
      </c>
      <c r="B199" s="13">
        <f t="shared" si="38"/>
        <v>41335.048517631352</v>
      </c>
      <c r="F199">
        <f t="shared" si="39"/>
        <v>176</v>
      </c>
      <c r="G199" s="13">
        <f t="shared" si="40"/>
        <v>32667.7463783809</v>
      </c>
      <c r="I199" s="1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AB199">
        <f>IF(AND($J133="Schlauch 8 mm 0,5 Meter",M$19*1000^2/($M$16*($K78/2000)^2*PI())*($K78/1000)/$O$16&gt;1000),2.3,IF(AND($J133="Schlauch 10 mm 0,5 Meter",M$19*1000^2/($M$16*($K78/2000)^2*PI())*($K78/1000)/$O$16&gt;1000),2.3,IF(AND($J133="Schlauch 13 mm 0,5 Meter",M$19*1000^2/($M$16*($K78/2000)^2*PI())*($K78/1000)/$O$16&gt;1000),2.3,1)))</f>
        <v>1</v>
      </c>
      <c r="AC199">
        <f>IF(AND($J133="Schlauch 8 mm 0,5 Meter",N$19*1000^2/($M$16*($K78/2000)^2*PI())*($K78/1000)/$O$16&gt;1000),2.3,IF(AND($J133="Schlauch 10 mm 0,5 Meter",N$19*1000^2/($M$16*($K78/2000)^2*PI())*($K78/1000)/$O$16&gt;1000),2.3,IF(AND($J133="Schlauch 13 mm 0,5 Meter",N$19*1000^2/($M$16*($K78/2000)^2*PI())*($K78/1000)/$O$16&gt;1000),2.3,1)))</f>
        <v>2.2999999999999998</v>
      </c>
      <c r="AD199">
        <f>IF(AND($J133="Schlauch 8 mm 0,5 Meter",O$19*1000^2/($M$16*($K78/2000)^2*PI())*($K78/1000)/$O$16&gt;1000),2.3,IF(AND($J133="Schlauch 10 mm 0,5 Meter",O$19*1000^2/($M$16*($K78/2000)^2*PI())*($K78/1000)/$O$16&gt;1000),2.3,IF(AND($J133="Schlauch 13 mm 0,5 Meter",O$19*1000^2/($M$16*($K78/2000)^2*PI())*($K78/1000)/$O$16&gt;1000),2.3,1)))</f>
        <v>2.2999999999999998</v>
      </c>
      <c r="AE199">
        <f>IF(AND($J133="Schlauch 8 mm 0,5 Meter",P$19*1000^2/($M$16*($K78/2000)^2*PI())*($K78/1000)/$O$16&gt;1000),2.3,IF(AND($J133="Schlauch 10 mm 0,5 Meter",P$19*1000^2/($M$16*($K78/2000)^2*PI())*($K78/1000)/$O$16&gt;1000),2.3,IF(AND($J133="Schlauch 13 mm 0,5 Meter",P$19*1000^2/($M$16*($K78/2000)^2*PI())*($K78/1000)/$O$16&gt;1000),2.3,1)))</f>
        <v>2.2999999999999998</v>
      </c>
      <c r="AF199">
        <f>IF(AND($J133="Schlauch 8 mm 0,5 Meter",Q$19*1000^2/($M$16*($K78/2000)^2*PI())*($K78/1000)/$O$16&gt;1000),2.3,IF(AND($J133="Schlauch 10 mm 0,5 Meter",Q$19*1000^2/($M$16*($K78/2000)^2*PI())*($K78/1000)/$O$16&gt;1000),2.3,IF(AND($J133="Schlauch 13 mm 0,5 Meter",Q$19*1000^2/($M$16*($K78/2000)^2*PI())*($K78/1000)/$O$16&gt;1000),2.3,1)))</f>
        <v>2.2999999999999998</v>
      </c>
      <c r="AG199">
        <f>IF(AND($J133="Schlauch 8 mm 0,5 Meter",R$19*1000^2/($M$16*($K78/2000)^2*PI())*($K78/1000)/$O$16&gt;1000),2.3,IF(AND($J133="Schlauch 10 mm 0,5 Meter",R$19*1000^2/($M$16*($K78/2000)^2*PI())*($K78/1000)/$O$16&gt;1000),2.3,IF(AND($J133="Schlauch 13 mm 0,5 Meter",R$19*1000^2/($M$16*($K78/2000)^2*PI())*($K78/1000)/$O$16&gt;1000),2.3,1)))</f>
        <v>2.2999999999999998</v>
      </c>
      <c r="AH199">
        <f>IF(AND($J133="Schlauch 8 mm 0,5 Meter",S$19*1000^2/($M$16*($K78/2000)^2*PI())*($K78/1000)/$O$16&gt;1000),2.3,IF(AND($J133="Schlauch 10 mm 0,5 Meter",S$19*1000^2/($M$16*($K78/2000)^2*PI())*($K78/1000)/$O$16&gt;1000),2.3,IF(AND($J133="Schlauch 13 mm 0,5 Meter",S$19*1000^2/($M$16*($K78/2000)^2*PI())*($K78/1000)/$O$16&gt;1000),2.3,1)))</f>
        <v>2.2999999999999998</v>
      </c>
      <c r="AI199">
        <f>IF(AND($J133="Schlauch 8 mm 0,5 Meter",T$19*1000^2/($M$16*($K78/2000)^2*PI())*($K78/1000)/$O$16&gt;1000),2.3,IF(AND($J133="Schlauch 10 mm 0,5 Meter",T$19*1000^2/($M$16*($K78/2000)^2*PI())*($K78/1000)/$O$16&gt;1000),2.3,IF(AND($J133="Schlauch 13 mm 0,5 Meter",T$19*1000^2/($M$16*($K78/2000)^2*PI())*($K78/1000)/$O$16&gt;1000),2.3,1)))</f>
        <v>2.2999999999999998</v>
      </c>
      <c r="AJ199">
        <f>IF(AND($J133="Schlauch 8 mm 0,5 Meter",U$19*1000^2/($M$16*($K78/2000)^2*PI())*($K78/1000)/$O$16&gt;1000),2.3,IF(AND($J133="Schlauch 10 mm 0,5 Meter",U$19*1000^2/($M$16*($K78/2000)^2*PI())*($K78/1000)/$O$16&gt;1000),2.3,IF(AND($J133="Schlauch 13 mm 0,5 Meter",U$19*1000^2/($M$16*($K78/2000)^2*PI())*($K78/1000)/$O$16&gt;1000),2.3,1)))</f>
        <v>2.2999999999999998</v>
      </c>
      <c r="AK199">
        <f>IF(AND($J133="Schlauch 8 mm 0,5 Meter",V$19*1000^2/($M$16*($K78/2000)^2*PI())*($K78/1000)/$O$16&gt;1000),2.3,IF(AND($J133="Schlauch 10 mm 0,5 Meter",V$19*1000^2/($M$16*($K78/2000)^2*PI())*($K78/1000)/$O$16&gt;1000),2.3,IF(AND($J133="Schlauch 13 mm 0,5 Meter",V$19*1000^2/($M$16*($K78/2000)^2*PI())*($K78/1000)/$O$16&gt;1000),2.3,1)))</f>
        <v>2.2999999999999998</v>
      </c>
      <c r="AL199">
        <f>IF(AND($J133="Schlauch 8 mm 0,5 Meter",W$19*1000^2/($M$16*($K78/2000)^2*PI())*($K78/1000)/$O$16&gt;1000),2.3,IF(AND($J133="Schlauch 10 mm 0,5 Meter",W$19*1000^2/($M$16*($K78/2000)^2*PI())*($K78/1000)/$O$16&gt;1000),2.3,IF(AND($J133="Schlauch 13 mm 0,5 Meter",W$19*1000^2/($M$16*($K78/2000)^2*PI())*($K78/1000)/$O$16&gt;1000),2.3,1)))</f>
        <v>2.2999999999999998</v>
      </c>
      <c r="AM199">
        <f>IF(AND($J133="Schlauch 8 mm 0,5 Meter",X$19*1000^2/($M$16*($K78/2000)^2*PI())*($K78/1000)/$O$16&gt;1000),2.3,IF(AND($J133="Schlauch 10 mm 0,5 Meter",X$19*1000^2/($M$16*($K78/2000)^2*PI())*($K78/1000)/$O$16&gt;1000),2.3,IF(AND($J133="Schlauch 13 mm 0,5 Meter",X$19*1000^2/($M$16*($K78/2000)^2*PI())*($K78/1000)/$O$16&gt;1000),2.3,1)))</f>
        <v>2.2999999999999998</v>
      </c>
      <c r="AN199">
        <f>IF(AND($J133="Schlauch 8 mm 0,5 Meter",Y$19*1000^2/($M$16*($K78/2000)^2*PI())*($K78/1000)/$O$16&gt;1000),2.3,IF(AND($J133="Schlauch 10 mm 0,5 Meter",Y$19*1000^2/($M$16*($K78/2000)^2*PI())*($K78/1000)/$O$16&gt;1000),2.3,IF(AND($J133="Schlauch 13 mm 0,5 Meter",Y$19*1000^2/($M$16*($K78/2000)^2*PI())*($K78/1000)/$O$16&gt;1000),2.3,1)))</f>
        <v>2.2999999999999998</v>
      </c>
      <c r="AQ199">
        <v>176</v>
      </c>
      <c r="AR199" s="14">
        <v>4.2224518988499016</v>
      </c>
      <c r="AS199" s="13">
        <f t="shared" si="41"/>
        <v>41335.048517631352</v>
      </c>
      <c r="AT199" s="9">
        <v>3.3370709040707758</v>
      </c>
      <c r="AU199" s="13">
        <f t="shared" si="42"/>
        <v>32667.7463783809</v>
      </c>
    </row>
    <row r="200" spans="1:47" x14ac:dyDescent="0.35">
      <c r="A200">
        <f t="shared" si="37"/>
        <v>177</v>
      </c>
      <c r="B200" s="13">
        <f t="shared" si="38"/>
        <v>41276.681356359251</v>
      </c>
      <c r="F200">
        <f t="shared" si="39"/>
        <v>177</v>
      </c>
      <c r="G200" s="13">
        <f t="shared" si="40"/>
        <v>32641.481481334889</v>
      </c>
      <c r="I200" s="1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AQ200">
        <v>177</v>
      </c>
      <c r="AR200" s="14">
        <v>4.2164895850319146</v>
      </c>
      <c r="AS200" s="13">
        <f t="shared" si="41"/>
        <v>41276.681356359251</v>
      </c>
      <c r="AT200" s="9">
        <v>3.3343878961058104</v>
      </c>
      <c r="AU200" s="13">
        <f t="shared" si="42"/>
        <v>32641.481481334889</v>
      </c>
    </row>
    <row r="201" spans="1:47" x14ac:dyDescent="0.35">
      <c r="A201">
        <f t="shared" si="37"/>
        <v>178</v>
      </c>
      <c r="B201" s="13">
        <f t="shared" si="38"/>
        <v>41217.920460161513</v>
      </c>
      <c r="F201">
        <f t="shared" si="39"/>
        <v>178</v>
      </c>
      <c r="G201" s="13">
        <f t="shared" si="40"/>
        <v>32615.172029565168</v>
      </c>
      <c r="I201" s="1">
        <v>9</v>
      </c>
      <c r="J201" t="s">
        <v>69</v>
      </c>
      <c r="K201">
        <f>K134</f>
        <v>10</v>
      </c>
      <c r="L201" t="s">
        <v>70</v>
      </c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AQ201">
        <v>178</v>
      </c>
      <c r="AR201" s="14">
        <v>4.2104870504607401</v>
      </c>
      <c r="AS201" s="13">
        <f t="shared" si="41"/>
        <v>41217.920460161513</v>
      </c>
      <c r="AT201" s="9">
        <v>3.3317003367931521</v>
      </c>
      <c r="AU201" s="13">
        <f t="shared" si="42"/>
        <v>32615.172029565168</v>
      </c>
    </row>
    <row r="202" spans="1:47" x14ac:dyDescent="0.35">
      <c r="A202">
        <f t="shared" si="37"/>
        <v>179</v>
      </c>
      <c r="B202" s="13">
        <f t="shared" si="38"/>
        <v>41158.765407346822</v>
      </c>
      <c r="F202">
        <f t="shared" si="39"/>
        <v>179</v>
      </c>
      <c r="G202" s="13">
        <f t="shared" si="40"/>
        <v>32588.818198436551</v>
      </c>
      <c r="I202" s="1"/>
      <c r="J202" t="s">
        <v>71</v>
      </c>
      <c r="K202">
        <v>100</v>
      </c>
      <c r="L202" t="s">
        <v>70</v>
      </c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AQ202">
        <v>179</v>
      </c>
      <c r="AR202" s="14">
        <v>4.2044442520598277</v>
      </c>
      <c r="AS202" s="13">
        <f t="shared" si="41"/>
        <v>41158.765407346822</v>
      </c>
      <c r="AT202" s="9">
        <v>3.3290082440466406</v>
      </c>
      <c r="AU202" s="13">
        <f t="shared" si="42"/>
        <v>32588.818198436551</v>
      </c>
    </row>
    <row r="203" spans="1:47" x14ac:dyDescent="0.35">
      <c r="A203">
        <f t="shared" si="37"/>
        <v>180</v>
      </c>
      <c r="B203" s="13">
        <f t="shared" si="38"/>
        <v>41099.215778138459</v>
      </c>
      <c r="F203">
        <f t="shared" si="39"/>
        <v>180</v>
      </c>
      <c r="G203" s="13">
        <f t="shared" si="40"/>
        <v>32562.420161646911</v>
      </c>
      <c r="I203" s="1"/>
      <c r="J203" t="s">
        <v>72</v>
      </c>
      <c r="K203">
        <v>90</v>
      </c>
      <c r="L203" t="s">
        <v>73</v>
      </c>
      <c r="M203" s="1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AQ203">
        <v>180</v>
      </c>
      <c r="AR203" s="14">
        <v>4.1983611469482076</v>
      </c>
      <c r="AS203" s="13">
        <f t="shared" si="41"/>
        <v>41099.215778138459</v>
      </c>
      <c r="AT203" s="9">
        <v>3.3263116356098372</v>
      </c>
      <c r="AU203" s="13">
        <f t="shared" si="42"/>
        <v>32562.420161646911</v>
      </c>
    </row>
    <row r="204" spans="1:47" x14ac:dyDescent="0.35">
      <c r="A204">
        <f t="shared" si="37"/>
        <v>181</v>
      </c>
      <c r="B204" s="13">
        <f t="shared" si="38"/>
        <v>41039.271154655013</v>
      </c>
      <c r="F204">
        <f t="shared" si="39"/>
        <v>181</v>
      </c>
      <c r="G204" s="13">
        <f t="shared" si="40"/>
        <v>32535.978091252273</v>
      </c>
      <c r="I204" s="1"/>
      <c r="J204" t="s">
        <v>76</v>
      </c>
      <c r="L204" s="4" t="s">
        <v>12</v>
      </c>
      <c r="M204" s="1">
        <v>0</v>
      </c>
      <c r="N204" s="10">
        <f>IF(N$19*1000^2/($M$16*($K201/2000)^2*PI())*($K201/1000)/$O$16&lt;2320,(64*PI()*$K202*($K203/180)*1000*$M$16*(N$19/($M$16*($K201/2000)^2*PI()))^2)/((N$19*1000^2/($M$16*($K201/2000)^2*PI())*($K201/1000)/$O$16)*1000*$K201*2)*AC204*AC205,(0.3164*PI()*$K202*($K203/180)*1000*$M$16*(N$19/($M$16*($K201/2000)^2*PI()))^2)/(((N$19*1000^2/($M$16*($K201/2000)^2*PI())*($K201/1000)/$O$16))^0.25*1000*$K201*2)*AC204*AC205)</f>
        <v>11.897974921284195</v>
      </c>
      <c r="O204" s="10">
        <f>IF(O$19*1000^2/($M$16*($K201/2000)^2*PI())*($K201/1000)/$O$16&lt;2320,(64*PI()*$K202*($K203/180)*1000*$M$16*(O$19/($M$16*($K201/2000)^2*PI()))^2)/((O$19*1000^2/($M$16*($K201/2000)^2*PI())*($K201/1000)/$O$16)*1000*$K201*2)*AD204*AD205,(0.3164*PI()*$K202*($K203/180)*1000*$M$16*(O$19/($M$16*($K201/2000)^2*PI()))^2)/(((O$19*1000^2/($M$16*($K201/2000)^2*PI())*($K201/1000)/$O$16))^0.25*1000*$K201*2)*AD204*AD205)</f>
        <v>36.132670246802761</v>
      </c>
      <c r="P204" s="10">
        <f>IF(P$19*1000^2/($M$16*($K201/2000)^2*PI())*($K201/1000)/$O$16&lt;2320,(64*PI()*$K202*($K203/180)*1000*$M$16*(P$19/($M$16*($K201/2000)^2*PI()))^2)/((P$19*1000^2/($M$16*($K201/2000)^2*PI())*($K201/1000)/$O$16)*1000*$K201*2)*AE204*AE205,(0.3164*PI()*$K202*($K203/180)*1000*$M$16*(P$19/($M$16*($K201/2000)^2*PI()))^2)/(((P$19*1000^2/($M$16*($K201/2000)^2*PI())*($K201/1000)/$O$16))^0.25*1000*$K201*2)*AE204*AE205)</f>
        <v>67.449461636808977</v>
      </c>
      <c r="Q204" s="10">
        <f>IF(Q$19*1000^2/($M$16*($K201/2000)^2*PI())*($K201/1000)/$O$16&lt;2320,(64*PI()*$K202*($K203/180)*1000*$M$16*(Q$19/($M$16*($K201/2000)^2*PI()))^2)/((Q$19*1000^2/($M$16*($K201/2000)^2*PI())*($K201/1000)/$O$16)*1000*$K201*2)*AF204*AF205,(0.3164*PI()*$K202*($K203/180)*1000*$M$16*(Q$19/($M$16*($K201/2000)^2*PI()))^2)/(((Q$19*1000^2/($M$16*($K201/2000)^2*PI())*($K201/1000)/$O$16))^0.25*1000*$K201*2)*AF204*AF205)</f>
        <v>106.75281948278872</v>
      </c>
      <c r="R204" s="10">
        <f>IF(R$19*1000^2/($M$16*($K201/2000)^2*PI())*($K201/1000)/$O$16&lt;2320,(64*PI()*$K202*($K203/180)*1000*$M$16*(R$19/($M$16*($K201/2000)^2*PI()))^2)/((R$19*1000^2/($M$16*($K201/2000)^2*PI())*($K201/1000)/$O$16)*1000*$K201*2)*AG204*AG205,(0.3164*PI()*$K202*($K203/180)*1000*$M$16*(R$19/($M$16*($K201/2000)^2*PI()))^2)/(((R$19*1000^2/($M$16*($K201/2000)^2*PI())*($K201/1000)/$O$16))^0.25*1000*$K201*2)*AG204*AG205)</f>
        <v>153.52830572409292</v>
      </c>
      <c r="S204" s="10">
        <f>IF(S$19*1000^2/($M$16*($K201/2000)^2*PI())*($K201/1000)/$O$16&lt;2320,(64*PI()*$K202*($K203/180)*1000*$M$16*(S$19/($M$16*($K201/2000)^2*PI()))^2)/((S$19*1000^2/($M$16*($K201/2000)^2*PI())*($K201/1000)/$O$16)*1000*$K201*2)*AH204*AH205,(0.3164*PI()*$K202*($K203/180)*1000*$M$16*(S$19/($M$16*($K201/2000)^2*PI()))^2)/(((S$19*1000^2/($M$16*($K201/2000)^2*PI())*($K201/1000)/$O$16))^0.25*1000*$K201*2)*AH204*AH205)</f>
        <v>207.39452594935204</v>
      </c>
      <c r="T204" s="10">
        <f>IF(T$19*1000^2/($M$16*($K201/2000)^2*PI())*($K201/1000)/$O$16&lt;2320,(64*PI()*$K202*($K203/180)*1000*$M$16*(T$19/($M$16*($K201/2000)^2*PI()))^2)/((T$19*1000^2/($M$16*($K201/2000)^2*PI())*($K201/1000)/$O$16)*1000*$K201*2)*AI204*AI205,(0.3164*PI()*$K202*($K203/180)*1000*$M$16*(T$19/($M$16*($K201/2000)^2*PI()))^2)/(((T$19*1000^2/($M$16*($K201/2000)^2*PI())*($K201/1000)/$O$16))^0.25*1000*$K201*2)*AI204*AI205)</f>
        <v>268.05146123098319</v>
      </c>
      <c r="U204" s="10">
        <f>IF(U$19*1000^2/($M$16*($K201/2000)^2*PI())*($K201/1000)/$O$16&lt;2320,(64*PI()*$K202*($K203/180)*1000*$M$16*(U$19/($M$16*($K201/2000)^2*PI()))^2)/((U$19*1000^2/($M$16*($K201/2000)^2*PI())*($K201/1000)/$O$16)*1000*$K201*2)*AJ204*AJ205,(0.3164*PI()*$K202*($K203/180)*1000*$M$16*(U$19/($M$16*($K201/2000)^2*PI()))^2)/(((U$19*1000^2/($M$16*($K201/2000)^2*PI())*($K201/1000)/$O$16))^0.25*1000*$K201*2)*AJ204*AJ205)</f>
        <v>335.25364069281437</v>
      </c>
      <c r="V204" s="10">
        <f>IF(V$19*1000^2/($M$16*($K201/2000)^2*PI())*($K201/1000)/$O$16&lt;2320,(64*PI()*$K202*($K203/180)*1000*$M$16*(V$19/($M$16*($K201/2000)^2*PI()))^2)/((V$19*1000^2/($M$16*($K201/2000)^2*PI())*($K201/1000)/$O$16)*1000*$K201*2)*AK204*AK205,(0.3164*PI()*$K202*($K203/180)*1000*$M$16*(V$19/($M$16*($K201/2000)^2*PI()))^2)/(((V$19*1000^2/($M$16*($K201/2000)^2*PI())*($K201/1000)/$O$16))^0.25*1000*$K201*2)*AK204*AK205)</f>
        <v>408.79449846226629</v>
      </c>
      <c r="W204" s="10">
        <f>IF(W$19*1000^2/($M$16*($K201/2000)^2*PI())*($K201/1000)/$O$16&lt;2320,(64*PI()*$K202*($K203/180)*1000*$M$16*(W$19/($M$16*($K201/2000)^2*PI()))^2)/((W$19*1000^2/($M$16*($K201/2000)^2*PI())*($K201/1000)/$O$16)*1000*$K201*2)*AL204*AL205,(0.3164*PI()*$K202*($K203/180)*1000*$M$16*(W$19/($M$16*($K201/2000)^2*PI()))^2)/(((W$19*1000^2/($M$16*($K201/2000)^2*PI())*($K201/1000)/$O$16))^0.25*1000*$K201*2)*AL204*AL205)</f>
        <v>488.49649482243501</v>
      </c>
      <c r="X204" s="10">
        <f>IF(X$19*1000^2/($M$16*($K201/2000)^2*PI())*($K201/1000)/$O$16&lt;2320,(64*PI()*$K202*($K203/180)*1000*$M$16*(X$19/($M$16*($K201/2000)^2*PI()))^2)/((X$19*1000^2/($M$16*($K201/2000)^2*PI())*($K201/1000)/$O$16)*1000*$K201*2)*AM204*AM205,(0.3164*PI()*$K202*($K203/180)*1000*$M$16*(X$19/($M$16*($K201/2000)^2*PI()))^2)/(((X$19*1000^2/($M$16*($K201/2000)^2*PI())*($K201/1000)/$O$16))^0.25*1000*$K201*2)*AM204*AM205)</f>
        <v>574.20450094769126</v>
      </c>
      <c r="Y204" s="10">
        <f>IF(Y$19*1000^2/($M$16*($K201/2000)^2*PI())*($K201/1000)/$O$16&lt;2320,(64*PI()*$K202*($K203/180)*1000*$M$16*(Y$19/($M$16*($K201/2000)^2*PI()))^2)/((Y$19*1000^2/($M$16*($K201/2000)^2*PI())*($K201/1000)/$O$16)*1000*$K201*2)*AN204*AN205,(0.3164*PI()*$K202*($K203/180)*1000*$M$16*(Y$19/($M$16*($K201/2000)^2*PI()))^2)/(((Y$19*1000^2/($M$16*($K201/2000)^2*PI())*($K201/1000)/$O$16))^0.25*1000*$K201*2)*AN204*AN205)</f>
        <v>665.78116492122876</v>
      </c>
      <c r="AB204">
        <f>IF($K203=90,48.8278467851456 - 47.806959580207*EXP(-0.277239618115161*($K202/$K201)^-1.54747755889509),IF($K203=75,50.1417823050971 - 49.1135860314465*EXP(-0.301530732764457*($K202/$K201)^-1.54561444953472),IF($K203=60,54.7760811257494 - 53.7540574575869*EXP(-0.304630071575136*($K202/$K201)^-1.55407754771893),IF($K203=45,43.1114956669904 - 42.081470426847*EXP(-0.421774530709856*($K202/$K201)^-1.56548181659313),IF($K203=30,83.6300898181698 - 82.5595081919206*EXP(-0.232275883030308*($K202/$K201)^-1.58789653739729),IF($K203=15,107.103583610419 - 106.022180533241*EXP(-0.173822505110446*($K202/$K201)^-1.54794763569524),))))))</f>
        <v>1.3951385535022496</v>
      </c>
      <c r="AC204">
        <f>IF($K203=90,48.8278467851456 - 47.806959580207*EXP(-0.277239618115161*($K202/$K201)^-1.54747755889509),IF($K203=75,50.1417823050971 - 49.1135860314465*EXP(-0.301530732764457*($K202/$K201)^-1.54561444953472),IF($K203=60,54.7760811257494 - 53.7540574575869*EXP(-0.304630071575136*($K202/$K201)^-1.55407754771893),IF($K203=45,43.1114956669904 - 42.081470426847*EXP(-0.421774530709856*($K202/$K201)^-1.56548181659313),IF($K203=30,83.6300898181698 - 82.5595081919206*EXP(-0.232275883030308*($K202/$K201)^-1.58789653739729),IF($K203=15,107.103583610419 - 106.022180533241*EXP(-0.173822505110446*($K202/$K201)^-1.54794763569524),))))))</f>
        <v>1.3951385535022496</v>
      </c>
      <c r="AD204">
        <f>IF($K203=90,48.8278467851456 - 47.806959580207*EXP(-0.277239618115161*($K202/$K201)^-1.54747755889509),IF($K203=75,50.1417823050971 - 49.1135860314465*EXP(-0.301530732764457*($K202/$K201)^-1.54561444953472),IF($K203=60,54.7760811257494 - 53.7540574575869*EXP(-0.304630071575136*($K202/$K201)^-1.55407754771893),IF($K203=45,43.1114956669904 - 42.081470426847*EXP(-0.421774530709856*($K202/$K201)^-1.56548181659313),IF($K203=30,83.6300898181698 - 82.5595081919206*EXP(-0.232275883030308*($K202/$K201)^-1.58789653739729),IF($K203=15,107.103583610419 - 106.022180533241*EXP(-0.173822505110446*($K202/$K201)^-1.54794763569524),))))))</f>
        <v>1.3951385535022496</v>
      </c>
      <c r="AE204">
        <f>IF($K203=90,48.8278467851456 - 47.806959580207*EXP(-0.277239618115161*($K202/$K201)^-1.54747755889509),IF($K203=75,50.1417823050971 - 49.1135860314465*EXP(-0.301530732764457*($K202/$K201)^-1.54561444953472),IF($K203=60,54.7760811257494 - 53.7540574575869*EXP(-0.304630071575136*($K202/$K201)^-1.55407754771893),IF($K203=45,43.1114956669904 - 42.081470426847*EXP(-0.421774530709856*($K202/$K201)^-1.56548181659313),IF($K203=30,83.6300898181698 - 82.5595081919206*EXP(-0.232275883030308*($K202/$K201)^-1.58789653739729),IF($K203=15,107.103583610419 - 106.022180533241*EXP(-0.173822505110446*($K202/$K201)^-1.54794763569524),))))))</f>
        <v>1.3951385535022496</v>
      </c>
      <c r="AF204">
        <f>IF($K203=90,48.8278467851456 - 47.806959580207*EXP(-0.277239618115161*($K202/$K201)^-1.54747755889509),IF($K203=75,50.1417823050971 - 49.1135860314465*EXP(-0.301530732764457*($K202/$K201)^-1.54561444953472),IF($K203=60,54.7760811257494 - 53.7540574575869*EXP(-0.304630071575136*($K202/$K201)^-1.55407754771893),IF($K203=45,43.1114956669904 - 42.081470426847*EXP(-0.421774530709856*($K202/$K201)^-1.56548181659313),IF($K203=30,83.6300898181698 - 82.5595081919206*EXP(-0.232275883030308*($K202/$K201)^-1.58789653739729),IF($K203=15,107.103583610419 - 106.022180533241*EXP(-0.173822505110446*($K202/$K201)^-1.54794763569524),))))))</f>
        <v>1.3951385535022496</v>
      </c>
      <c r="AG204">
        <f>IF($K203=90,48.8278467851456 - 47.806959580207*EXP(-0.277239618115161*($K202/$K201)^-1.54747755889509),IF($K203=75,50.1417823050971 - 49.1135860314465*EXP(-0.301530732764457*($K202/$K201)^-1.54561444953472),IF($K203=60,54.7760811257494 - 53.7540574575869*EXP(-0.304630071575136*($K202/$K201)^-1.55407754771893),IF($K203=45,43.1114956669904 - 42.081470426847*EXP(-0.421774530709856*($K202/$K201)^-1.56548181659313),IF($K203=30,83.6300898181698 - 82.5595081919206*EXP(-0.232275883030308*($K202/$K201)^-1.58789653739729),IF($K203=15,107.103583610419 - 106.022180533241*EXP(-0.173822505110446*($K202/$K201)^-1.54794763569524),))))))</f>
        <v>1.3951385535022496</v>
      </c>
      <c r="AH204">
        <f>IF($K203=90,48.8278467851456 - 47.806959580207*EXP(-0.277239618115161*($K202/$K201)^-1.54747755889509),IF($K203=75,50.1417823050971 - 49.1135860314465*EXP(-0.301530732764457*($K202/$K201)^-1.54561444953472),IF($K203=60,54.7760811257494 - 53.7540574575869*EXP(-0.304630071575136*($K202/$K201)^-1.55407754771893),IF($K203=45,43.1114956669904 - 42.081470426847*EXP(-0.421774530709856*($K202/$K201)^-1.56548181659313),IF($K203=30,83.6300898181698 - 82.5595081919206*EXP(-0.232275883030308*($K202/$K201)^-1.58789653739729),IF($K203=15,107.103583610419 - 106.022180533241*EXP(-0.173822505110446*($K202/$K201)^-1.54794763569524),))))))</f>
        <v>1.3951385535022496</v>
      </c>
      <c r="AI204">
        <f>IF($K203=90,48.8278467851456 - 47.806959580207*EXP(-0.277239618115161*($K202/$K201)^-1.54747755889509),IF($K203=75,50.1417823050971 - 49.1135860314465*EXP(-0.301530732764457*($K202/$K201)^-1.54561444953472),IF($K203=60,54.7760811257494 - 53.7540574575869*EXP(-0.304630071575136*($K202/$K201)^-1.55407754771893),IF($K203=45,43.1114956669904 - 42.081470426847*EXP(-0.421774530709856*($K202/$K201)^-1.56548181659313),IF($K203=30,83.6300898181698 - 82.5595081919206*EXP(-0.232275883030308*($K202/$K201)^-1.58789653739729),IF($K203=15,107.103583610419 - 106.022180533241*EXP(-0.173822505110446*($K202/$K201)^-1.54794763569524),))))))</f>
        <v>1.3951385535022496</v>
      </c>
      <c r="AJ204">
        <f>IF($K203=90,48.8278467851456 - 47.806959580207*EXP(-0.277239618115161*($K202/$K201)^-1.54747755889509),IF($K203=75,50.1417823050971 - 49.1135860314465*EXP(-0.301530732764457*($K202/$K201)^-1.54561444953472),IF($K203=60,54.7760811257494 - 53.7540574575869*EXP(-0.304630071575136*($K202/$K201)^-1.55407754771893),IF($K203=45,43.1114956669904 - 42.081470426847*EXP(-0.421774530709856*($K202/$K201)^-1.56548181659313),IF($K203=30,83.6300898181698 - 82.5595081919206*EXP(-0.232275883030308*($K202/$K201)^-1.58789653739729),IF($K203=15,107.103583610419 - 106.022180533241*EXP(-0.173822505110446*($K202/$K201)^-1.54794763569524),))))))</f>
        <v>1.3951385535022496</v>
      </c>
      <c r="AK204">
        <f>IF($K203=90,48.8278467851456 - 47.806959580207*EXP(-0.277239618115161*($K202/$K201)^-1.54747755889509),IF($K203=75,50.1417823050971 - 49.1135860314465*EXP(-0.301530732764457*($K202/$K201)^-1.54561444953472),IF($K203=60,54.7760811257494 - 53.7540574575869*EXP(-0.304630071575136*($K202/$K201)^-1.55407754771893),IF($K203=45,43.1114956669904 - 42.081470426847*EXP(-0.421774530709856*($K202/$K201)^-1.56548181659313),IF($K203=30,83.6300898181698 - 82.5595081919206*EXP(-0.232275883030308*($K202/$K201)^-1.58789653739729),IF($K203=15,107.103583610419 - 106.022180533241*EXP(-0.173822505110446*($K202/$K201)^-1.54794763569524),))))))</f>
        <v>1.3951385535022496</v>
      </c>
      <c r="AL204">
        <f>IF($K203=90,48.8278467851456 - 47.806959580207*EXP(-0.277239618115161*($K202/$K201)^-1.54747755889509),IF($K203=75,50.1417823050971 - 49.1135860314465*EXP(-0.301530732764457*($K202/$K201)^-1.54561444953472),IF($K203=60,54.7760811257494 - 53.7540574575869*EXP(-0.304630071575136*($K202/$K201)^-1.55407754771893),IF($K203=45,43.1114956669904 - 42.081470426847*EXP(-0.421774530709856*($K202/$K201)^-1.56548181659313),IF($K203=30,83.6300898181698 - 82.5595081919206*EXP(-0.232275883030308*($K202/$K201)^-1.58789653739729),IF($K203=15,107.103583610419 - 106.022180533241*EXP(-0.173822505110446*($K202/$K201)^-1.54794763569524),))))))</f>
        <v>1.3951385535022496</v>
      </c>
      <c r="AM204">
        <f>IF($K203=90,48.8278467851456 - 47.806959580207*EXP(-0.277239618115161*($K202/$K201)^-1.54747755889509),IF($K203=75,50.1417823050971 - 49.1135860314465*EXP(-0.301530732764457*($K202/$K201)^-1.54561444953472),IF($K203=60,54.7760811257494 - 53.7540574575869*EXP(-0.304630071575136*($K202/$K201)^-1.55407754771893),IF($K203=45,43.1114956669904 - 42.081470426847*EXP(-0.421774530709856*($K202/$K201)^-1.56548181659313),IF($K203=30,83.6300898181698 - 82.5595081919206*EXP(-0.232275883030308*($K202/$K201)^-1.58789653739729),IF($K203=15,107.103583610419 - 106.022180533241*EXP(-0.173822505110446*($K202/$K201)^-1.54794763569524),))))))</f>
        <v>1.3951385535022496</v>
      </c>
      <c r="AN204">
        <f>IF($K203=90,48.8278467851456 - 47.806959580207*EXP(-0.277239618115161*($K202/$K201)^-1.54747755889509),IF($K203=75,50.1417823050971 - 49.1135860314465*EXP(-0.301530732764457*($K202/$K201)^-1.54561444953472),IF($K203=60,54.7760811257494 - 53.7540574575869*EXP(-0.304630071575136*($K202/$K201)^-1.55407754771893),IF($K203=45,43.1114956669904 - 42.081470426847*EXP(-0.421774530709856*($K202/$K201)^-1.56548181659313),IF($K203=30,83.6300898181698 - 82.5595081919206*EXP(-0.232275883030308*($K202/$K201)^-1.58789653739729),IF($K203=15,107.103583610419 - 106.022180533241*EXP(-0.173822505110446*($K202/$K201)^-1.54794763569524),))))))</f>
        <v>1.3951385535022496</v>
      </c>
      <c r="AQ204">
        <v>181</v>
      </c>
      <c r="AR204" s="14">
        <v>4.1922376924385185</v>
      </c>
      <c r="AS204" s="13">
        <f t="shared" si="41"/>
        <v>41039.271154655013</v>
      </c>
      <c r="AT204" s="9">
        <v>3.3236105290585836</v>
      </c>
      <c r="AU204" s="13">
        <f t="shared" si="42"/>
        <v>32535.978091252273</v>
      </c>
    </row>
    <row r="205" spans="1:47" x14ac:dyDescent="0.35">
      <c r="A205">
        <f t="shared" si="37"/>
        <v>182</v>
      </c>
      <c r="B205" s="13">
        <f t="shared" si="38"/>
        <v>40978.93112089135</v>
      </c>
      <c r="F205">
        <f t="shared" si="39"/>
        <v>182</v>
      </c>
      <c r="G205" s="13">
        <f t="shared" si="40"/>
        <v>32509.492157691308</v>
      </c>
      <c r="I205" s="1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AB205">
        <f>IF(AND($J134="Schlauch 8 mm 0,5 Meter",M$19*1000^2/($M$16*($K79/2000)^2*PI())*($K79/1000)/$O$16&gt;1000),2.3,IF(AND($J134="Schlauch 10 mm 0,5 Meter",M$19*1000^2/($M$16*($K79/2000)^2*PI())*($K79/1000)/$O$16&gt;1000),2.3,IF(AND($J134="Schlauch 13 mm 0,5 Meter",M$19*1000^2/($M$16*($K79/2000)^2*PI())*($K79/1000)/$O$16&gt;1000),2.3,1)))</f>
        <v>1</v>
      </c>
      <c r="AC205">
        <f>IF(AND($J134="Schlauch 8 mm 0,5 Meter",N$19*1000^2/($M$16*($K79/2000)^2*PI())*($K79/1000)/$O$16&gt;1000),2.3,IF(AND($J134="Schlauch 10 mm 0,5 Meter",N$19*1000^2/($M$16*($K79/2000)^2*PI())*($K79/1000)/$O$16&gt;1000),2.3,IF(AND($J134="Schlauch 13 mm 0,5 Meter",N$19*1000^2/($M$16*($K79/2000)^2*PI())*($K79/1000)/$O$16&gt;1000),2.3,1)))</f>
        <v>2.2999999999999998</v>
      </c>
      <c r="AD205">
        <f>IF(AND($J134="Schlauch 8 mm 0,5 Meter",O$19*1000^2/($M$16*($K79/2000)^2*PI())*($K79/1000)/$O$16&gt;1000),2.3,IF(AND($J134="Schlauch 10 mm 0,5 Meter",O$19*1000^2/($M$16*($K79/2000)^2*PI())*($K79/1000)/$O$16&gt;1000),2.3,IF(AND($J134="Schlauch 13 mm 0,5 Meter",O$19*1000^2/($M$16*($K79/2000)^2*PI())*($K79/1000)/$O$16&gt;1000),2.3,1)))</f>
        <v>2.2999999999999998</v>
      </c>
      <c r="AE205">
        <f>IF(AND($J134="Schlauch 8 mm 0,5 Meter",P$19*1000^2/($M$16*($K79/2000)^2*PI())*($K79/1000)/$O$16&gt;1000),2.3,IF(AND($J134="Schlauch 10 mm 0,5 Meter",P$19*1000^2/($M$16*($K79/2000)^2*PI())*($K79/1000)/$O$16&gt;1000),2.3,IF(AND($J134="Schlauch 13 mm 0,5 Meter",P$19*1000^2/($M$16*($K79/2000)^2*PI())*($K79/1000)/$O$16&gt;1000),2.3,1)))</f>
        <v>2.2999999999999998</v>
      </c>
      <c r="AF205">
        <f>IF(AND($J134="Schlauch 8 mm 0,5 Meter",Q$19*1000^2/($M$16*($K79/2000)^2*PI())*($K79/1000)/$O$16&gt;1000),2.3,IF(AND($J134="Schlauch 10 mm 0,5 Meter",Q$19*1000^2/($M$16*($K79/2000)^2*PI())*($K79/1000)/$O$16&gt;1000),2.3,IF(AND($J134="Schlauch 13 mm 0,5 Meter",Q$19*1000^2/($M$16*($K79/2000)^2*PI())*($K79/1000)/$O$16&gt;1000),2.3,1)))</f>
        <v>2.2999999999999998</v>
      </c>
      <c r="AG205">
        <f>IF(AND($J134="Schlauch 8 mm 0,5 Meter",R$19*1000^2/($M$16*($K79/2000)^2*PI())*($K79/1000)/$O$16&gt;1000),2.3,IF(AND($J134="Schlauch 10 mm 0,5 Meter",R$19*1000^2/($M$16*($K79/2000)^2*PI())*($K79/1000)/$O$16&gt;1000),2.3,IF(AND($J134="Schlauch 13 mm 0,5 Meter",R$19*1000^2/($M$16*($K79/2000)^2*PI())*($K79/1000)/$O$16&gt;1000),2.3,1)))</f>
        <v>2.2999999999999998</v>
      </c>
      <c r="AH205">
        <f>IF(AND($J134="Schlauch 8 mm 0,5 Meter",S$19*1000^2/($M$16*($K79/2000)^2*PI())*($K79/1000)/$O$16&gt;1000),2.3,IF(AND($J134="Schlauch 10 mm 0,5 Meter",S$19*1000^2/($M$16*($K79/2000)^2*PI())*($K79/1000)/$O$16&gt;1000),2.3,IF(AND($J134="Schlauch 13 mm 0,5 Meter",S$19*1000^2/($M$16*($K79/2000)^2*PI())*($K79/1000)/$O$16&gt;1000),2.3,1)))</f>
        <v>2.2999999999999998</v>
      </c>
      <c r="AI205">
        <f>IF(AND($J134="Schlauch 8 mm 0,5 Meter",T$19*1000^2/($M$16*($K79/2000)^2*PI())*($K79/1000)/$O$16&gt;1000),2.3,IF(AND($J134="Schlauch 10 mm 0,5 Meter",T$19*1000^2/($M$16*($K79/2000)^2*PI())*($K79/1000)/$O$16&gt;1000),2.3,IF(AND($J134="Schlauch 13 mm 0,5 Meter",T$19*1000^2/($M$16*($K79/2000)^2*PI())*($K79/1000)/$O$16&gt;1000),2.3,1)))</f>
        <v>2.2999999999999998</v>
      </c>
      <c r="AJ205">
        <f>IF(AND($J134="Schlauch 8 mm 0,5 Meter",U$19*1000^2/($M$16*($K79/2000)^2*PI())*($K79/1000)/$O$16&gt;1000),2.3,IF(AND($J134="Schlauch 10 mm 0,5 Meter",U$19*1000^2/($M$16*($K79/2000)^2*PI())*($K79/1000)/$O$16&gt;1000),2.3,IF(AND($J134="Schlauch 13 mm 0,5 Meter",U$19*1000^2/($M$16*($K79/2000)^2*PI())*($K79/1000)/$O$16&gt;1000),2.3,1)))</f>
        <v>2.2999999999999998</v>
      </c>
      <c r="AK205">
        <f>IF(AND($J134="Schlauch 8 mm 0,5 Meter",V$19*1000^2/($M$16*($K79/2000)^2*PI())*($K79/1000)/$O$16&gt;1000),2.3,IF(AND($J134="Schlauch 10 mm 0,5 Meter",V$19*1000^2/($M$16*($K79/2000)^2*PI())*($K79/1000)/$O$16&gt;1000),2.3,IF(AND($J134="Schlauch 13 mm 0,5 Meter",V$19*1000^2/($M$16*($K79/2000)^2*PI())*($K79/1000)/$O$16&gt;1000),2.3,1)))</f>
        <v>2.2999999999999998</v>
      </c>
      <c r="AL205">
        <f>IF(AND($J134="Schlauch 8 mm 0,5 Meter",W$19*1000^2/($M$16*($K79/2000)^2*PI())*($K79/1000)/$O$16&gt;1000),2.3,IF(AND($J134="Schlauch 10 mm 0,5 Meter",W$19*1000^2/($M$16*($K79/2000)^2*PI())*($K79/1000)/$O$16&gt;1000),2.3,IF(AND($J134="Schlauch 13 mm 0,5 Meter",W$19*1000^2/($M$16*($K79/2000)^2*PI())*($K79/1000)/$O$16&gt;1000),2.3,1)))</f>
        <v>2.2999999999999998</v>
      </c>
      <c r="AM205">
        <f>IF(AND($J134="Schlauch 8 mm 0,5 Meter",X$19*1000^2/($M$16*($K79/2000)^2*PI())*($K79/1000)/$O$16&gt;1000),2.3,IF(AND($J134="Schlauch 10 mm 0,5 Meter",X$19*1000^2/($M$16*($K79/2000)^2*PI())*($K79/1000)/$O$16&gt;1000),2.3,IF(AND($J134="Schlauch 13 mm 0,5 Meter",X$19*1000^2/($M$16*($K79/2000)^2*PI())*($K79/1000)/$O$16&gt;1000),2.3,1)))</f>
        <v>2.2999999999999998</v>
      </c>
      <c r="AN205">
        <f>IF(AND($J134="Schlauch 8 mm 0,5 Meter",Y$19*1000^2/($M$16*($K79/2000)^2*PI())*($K79/1000)/$O$16&gt;1000),2.3,IF(AND($J134="Schlauch 10 mm 0,5 Meter",Y$19*1000^2/($M$16*($K79/2000)^2*PI())*($K79/1000)/$O$16&gt;1000),2.3,IF(AND($J134="Schlauch 13 mm 0,5 Meter",Y$19*1000^2/($M$16*($K79/2000)^2*PI())*($K79/1000)/$O$16&gt;1000),2.3,1)))</f>
        <v>2.2999999999999998</v>
      </c>
      <c r="AQ205">
        <v>182</v>
      </c>
      <c r="AR205" s="14">
        <v>4.1860738460350628</v>
      </c>
      <c r="AS205" s="13">
        <f t="shared" si="41"/>
        <v>40978.93112089135</v>
      </c>
      <c r="AT205" s="9">
        <v>3.3209049418035059</v>
      </c>
      <c r="AU205" s="13">
        <f t="shared" si="42"/>
        <v>32509.492157691308</v>
      </c>
    </row>
    <row r="206" spans="1:47" x14ac:dyDescent="0.35">
      <c r="A206">
        <f t="shared" si="37"/>
        <v>183</v>
      </c>
      <c r="B206" s="13">
        <f t="shared" si="38"/>
        <v>40918.195262699839</v>
      </c>
      <c r="F206">
        <f t="shared" si="39"/>
        <v>183</v>
      </c>
      <c r="G206" s="13">
        <f t="shared" si="40"/>
        <v>32482.962529809301</v>
      </c>
      <c r="I206" s="1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AQ206">
        <v>183</v>
      </c>
      <c r="AR206" s="14">
        <v>4.1798695654318934</v>
      </c>
      <c r="AS206" s="13">
        <f t="shared" si="41"/>
        <v>40918.195262699839</v>
      </c>
      <c r="AT206" s="9">
        <v>3.3181948910924643</v>
      </c>
      <c r="AU206" s="13">
        <f t="shared" si="42"/>
        <v>32482.962529809301</v>
      </c>
    </row>
    <row r="207" spans="1:47" x14ac:dyDescent="0.35">
      <c r="A207">
        <f t="shared" si="37"/>
        <v>184</v>
      </c>
      <c r="B207" s="13">
        <f t="shared" si="38"/>
        <v>40857.063167772045</v>
      </c>
      <c r="F207">
        <f t="shared" si="39"/>
        <v>184</v>
      </c>
      <c r="G207" s="13">
        <f t="shared" si="40"/>
        <v>32456.389374881765</v>
      </c>
      <c r="I207" s="1">
        <v>10</v>
      </c>
      <c r="J207" t="s">
        <v>69</v>
      </c>
      <c r="K207">
        <f>K135</f>
        <v>10</v>
      </c>
      <c r="L207" t="s">
        <v>70</v>
      </c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AQ207">
        <v>184</v>
      </c>
      <c r="AR207" s="14">
        <v>4.1736248085109366</v>
      </c>
      <c r="AS207" s="13">
        <f t="shared" si="41"/>
        <v>40857.063167772045</v>
      </c>
      <c r="AT207" s="9">
        <v>3.3154803940129618</v>
      </c>
      <c r="AU207" s="13">
        <f t="shared" si="42"/>
        <v>32456.389374881765</v>
      </c>
    </row>
    <row r="208" spans="1:47" x14ac:dyDescent="0.35">
      <c r="A208">
        <f t="shared" si="37"/>
        <v>185</v>
      </c>
      <c r="B208" s="13">
        <f t="shared" si="38"/>
        <v>40795.534425620433</v>
      </c>
      <c r="F208">
        <f t="shared" si="39"/>
        <v>185</v>
      </c>
      <c r="G208" s="13">
        <f t="shared" si="40"/>
        <v>32429.772858637418</v>
      </c>
      <c r="J208" t="s">
        <v>71</v>
      </c>
      <c r="K208">
        <v>100</v>
      </c>
      <c r="L208" t="s">
        <v>70</v>
      </c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AQ208">
        <v>185</v>
      </c>
      <c r="AR208" s="14">
        <v>4.1673395333401313</v>
      </c>
      <c r="AS208" s="13">
        <f t="shared" si="41"/>
        <v>40795.534425620433</v>
      </c>
      <c r="AT208" s="9">
        <v>3.3127614674944943</v>
      </c>
      <c r="AU208" s="13">
        <f t="shared" si="42"/>
        <v>32429.772858637418</v>
      </c>
    </row>
    <row r="209" spans="1:47" x14ac:dyDescent="0.35">
      <c r="A209">
        <f t="shared" si="37"/>
        <v>186</v>
      </c>
      <c r="B209" s="13">
        <f t="shared" si="38"/>
        <v>40733.608627560578</v>
      </c>
      <c r="F209">
        <f t="shared" si="39"/>
        <v>186</v>
      </c>
      <c r="G209" s="13">
        <f t="shared" si="40"/>
        <v>32403.113145280804</v>
      </c>
      <c r="J209" t="s">
        <v>72</v>
      </c>
      <c r="K209">
        <v>90</v>
      </c>
      <c r="L209" t="s">
        <v>73</v>
      </c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AQ209">
        <v>186</v>
      </c>
      <c r="AR209" s="14">
        <v>4.1610136981716037</v>
      </c>
      <c r="AS209" s="13">
        <f t="shared" si="41"/>
        <v>40733.608627560578</v>
      </c>
      <c r="AT209" s="9">
        <v>3.3100381283108615</v>
      </c>
      <c r="AU209" s="13">
        <f t="shared" si="42"/>
        <v>32403.113145280804</v>
      </c>
    </row>
    <row r="210" spans="1:47" x14ac:dyDescent="0.35">
      <c r="A210">
        <f t="shared" si="37"/>
        <v>187</v>
      </c>
      <c r="B210" s="13">
        <f t="shared" si="38"/>
        <v>40671.285366693592</v>
      </c>
      <c r="F210">
        <f t="shared" si="39"/>
        <v>187</v>
      </c>
      <c r="G210" s="13">
        <f t="shared" si="40"/>
        <v>32376.410397514454</v>
      </c>
      <c r="J210" t="s">
        <v>76</v>
      </c>
      <c r="L210" s="4" t="s">
        <v>12</v>
      </c>
      <c r="M210" s="1">
        <v>0</v>
      </c>
      <c r="N210" s="10">
        <f>IF(N$19*1000^2/($M$16*($K207/2000)^2*PI())*($K207/1000)/$O$16&lt;2320,(64*PI()*$K208*($K209/180)*1000*$M$16*(N$19/($M$16*($K207/2000)^2*PI()))^2)/((N$19*1000^2/($M$16*($K207/2000)^2*PI())*($K207/1000)/$O$16)*1000*$K207*2)*AC210*AC211,(0.3164*PI()*$K208*($K209/180)*1000*$M$16*(N$19/($M$16*($K207/2000)^2*PI()))^2)/(((N$19*1000^2/($M$16*($K207/2000)^2*PI())*($K207/1000)/$O$16))^0.25*1000*$K207*2)*AC210*AC211)</f>
        <v>11.897974921284195</v>
      </c>
      <c r="O210" s="10">
        <f>IF(O$19*1000^2/($M$16*($K207/2000)^2*PI())*($K207/1000)/$O$16&lt;2320,(64*PI()*$K208*($K209/180)*1000*$M$16*(O$19/($M$16*($K207/2000)^2*PI()))^2)/((O$19*1000^2/($M$16*($K207/2000)^2*PI())*($K207/1000)/$O$16)*1000*$K207*2)*AD210*AD211,(0.3164*PI()*$K208*($K209/180)*1000*$M$16*(O$19/($M$16*($K207/2000)^2*PI()))^2)/(((O$19*1000^2/($M$16*($K207/2000)^2*PI())*($K207/1000)/$O$16))^0.25*1000*$K207*2)*AD210*AD211)</f>
        <v>36.132670246802761</v>
      </c>
      <c r="P210" s="10">
        <f>IF(P$19*1000^2/($M$16*($K207/2000)^2*PI())*($K207/1000)/$O$16&lt;2320,(64*PI()*$K208*($K209/180)*1000*$M$16*(P$19/($M$16*($K207/2000)^2*PI()))^2)/((P$19*1000^2/($M$16*($K207/2000)^2*PI())*($K207/1000)/$O$16)*1000*$K207*2)*AE210*AE211,(0.3164*PI()*$K208*($K209/180)*1000*$M$16*(P$19/($M$16*($K207/2000)^2*PI()))^2)/(((P$19*1000^2/($M$16*($K207/2000)^2*PI())*($K207/1000)/$O$16))^0.25*1000*$K207*2)*AE210*AE211)</f>
        <v>67.449461636808977</v>
      </c>
      <c r="Q210" s="10">
        <f>IF(Q$19*1000^2/($M$16*($K207/2000)^2*PI())*($K207/1000)/$O$16&lt;2320,(64*PI()*$K208*($K209/180)*1000*$M$16*(Q$19/($M$16*($K207/2000)^2*PI()))^2)/((Q$19*1000^2/($M$16*($K207/2000)^2*PI())*($K207/1000)/$O$16)*1000*$K207*2)*AF210*AF211,(0.3164*PI()*$K208*($K209/180)*1000*$M$16*(Q$19/($M$16*($K207/2000)^2*PI()))^2)/(((Q$19*1000^2/($M$16*($K207/2000)^2*PI())*($K207/1000)/$O$16))^0.25*1000*$K207*2)*AF210*AF211)</f>
        <v>106.75281948278872</v>
      </c>
      <c r="R210" s="10">
        <f>IF(R$19*1000^2/($M$16*($K207/2000)^2*PI())*($K207/1000)/$O$16&lt;2320,(64*PI()*$K208*($K209/180)*1000*$M$16*(R$19/($M$16*($K207/2000)^2*PI()))^2)/((R$19*1000^2/($M$16*($K207/2000)^2*PI())*($K207/1000)/$O$16)*1000*$K207*2)*AG210*AG211,(0.3164*PI()*$K208*($K209/180)*1000*$M$16*(R$19/($M$16*($K207/2000)^2*PI()))^2)/(((R$19*1000^2/($M$16*($K207/2000)^2*PI())*($K207/1000)/$O$16))^0.25*1000*$K207*2)*AG210*AG211)</f>
        <v>153.52830572409292</v>
      </c>
      <c r="S210" s="10">
        <f>IF(S$19*1000^2/($M$16*($K207/2000)^2*PI())*($K207/1000)/$O$16&lt;2320,(64*PI()*$K208*($K209/180)*1000*$M$16*(S$19/($M$16*($K207/2000)^2*PI()))^2)/((S$19*1000^2/($M$16*($K207/2000)^2*PI())*($K207/1000)/$O$16)*1000*$K207*2)*AH210*AH211,(0.3164*PI()*$K208*($K209/180)*1000*$M$16*(S$19/($M$16*($K207/2000)^2*PI()))^2)/(((S$19*1000^2/($M$16*($K207/2000)^2*PI())*($K207/1000)/$O$16))^0.25*1000*$K207*2)*AH210*AH211)</f>
        <v>207.39452594935204</v>
      </c>
      <c r="T210" s="10">
        <f>IF(T$19*1000^2/($M$16*($K207/2000)^2*PI())*($K207/1000)/$O$16&lt;2320,(64*PI()*$K208*($K209/180)*1000*$M$16*(T$19/($M$16*($K207/2000)^2*PI()))^2)/((T$19*1000^2/($M$16*($K207/2000)^2*PI())*($K207/1000)/$O$16)*1000*$K207*2)*AI210*AI211,(0.3164*PI()*$K208*($K209/180)*1000*$M$16*(T$19/($M$16*($K207/2000)^2*PI()))^2)/(((T$19*1000^2/($M$16*($K207/2000)^2*PI())*($K207/1000)/$O$16))^0.25*1000*$K207*2)*AI210*AI211)</f>
        <v>268.05146123098319</v>
      </c>
      <c r="U210" s="10">
        <f>IF(U$19*1000^2/($M$16*($K207/2000)^2*PI())*($K207/1000)/$O$16&lt;2320,(64*PI()*$K208*($K209/180)*1000*$M$16*(U$19/($M$16*($K207/2000)^2*PI()))^2)/((U$19*1000^2/($M$16*($K207/2000)^2*PI())*($K207/1000)/$O$16)*1000*$K207*2)*AJ210*AJ211,(0.3164*PI()*$K208*($K209/180)*1000*$M$16*(U$19/($M$16*($K207/2000)^2*PI()))^2)/(((U$19*1000^2/($M$16*($K207/2000)^2*PI())*($K207/1000)/$O$16))^0.25*1000*$K207*2)*AJ210*AJ211)</f>
        <v>335.25364069281437</v>
      </c>
      <c r="V210" s="10">
        <f>IF(V$19*1000^2/($M$16*($K207/2000)^2*PI())*($K207/1000)/$O$16&lt;2320,(64*PI()*$K208*($K209/180)*1000*$M$16*(V$19/($M$16*($K207/2000)^2*PI()))^2)/((V$19*1000^2/($M$16*($K207/2000)^2*PI())*($K207/1000)/$O$16)*1000*$K207*2)*AK210*AK211,(0.3164*PI()*$K208*($K209/180)*1000*$M$16*(V$19/($M$16*($K207/2000)^2*PI()))^2)/(((V$19*1000^2/($M$16*($K207/2000)^2*PI())*($K207/1000)/$O$16))^0.25*1000*$K207*2)*AK210*AK211)</f>
        <v>408.79449846226629</v>
      </c>
      <c r="W210" s="10">
        <f>IF(W$19*1000^2/($M$16*($K207/2000)^2*PI())*($K207/1000)/$O$16&lt;2320,(64*PI()*$K208*($K209/180)*1000*$M$16*(W$19/($M$16*($K207/2000)^2*PI()))^2)/((W$19*1000^2/($M$16*($K207/2000)^2*PI())*($K207/1000)/$O$16)*1000*$K207*2)*AL210*AL211,(0.3164*PI()*$K208*($K209/180)*1000*$M$16*(W$19/($M$16*($K207/2000)^2*PI()))^2)/(((W$19*1000^2/($M$16*($K207/2000)^2*PI())*($K207/1000)/$O$16))^0.25*1000*$K207*2)*AL210*AL211)</f>
        <v>488.49649482243501</v>
      </c>
      <c r="X210" s="10">
        <f>IF(X$19*1000^2/($M$16*($K207/2000)^2*PI())*($K207/1000)/$O$16&lt;2320,(64*PI()*$K208*($K209/180)*1000*$M$16*(X$19/($M$16*($K207/2000)^2*PI()))^2)/((X$19*1000^2/($M$16*($K207/2000)^2*PI())*($K207/1000)/$O$16)*1000*$K207*2)*AM210*AM211,(0.3164*PI()*$K208*($K209/180)*1000*$M$16*(X$19/($M$16*($K207/2000)^2*PI()))^2)/(((X$19*1000^2/($M$16*($K207/2000)^2*PI())*($K207/1000)/$O$16))^0.25*1000*$K207*2)*AM210*AM211)</f>
        <v>574.20450094769126</v>
      </c>
      <c r="Y210" s="10">
        <f>IF(Y$19*1000^2/($M$16*($K207/2000)^2*PI())*($K207/1000)/$O$16&lt;2320,(64*PI()*$K208*($K209/180)*1000*$M$16*(Y$19/($M$16*($K207/2000)^2*PI()))^2)/((Y$19*1000^2/($M$16*($K207/2000)^2*PI())*($K207/1000)/$O$16)*1000*$K207*2)*AN210*AN211,(0.3164*PI()*$K208*($K209/180)*1000*$M$16*(Y$19/($M$16*($K207/2000)^2*PI()))^2)/(((Y$19*1000^2/($M$16*($K207/2000)^2*PI())*($K207/1000)/$O$16))^0.25*1000*$K207*2)*AN210*AN211)</f>
        <v>665.78116492122876</v>
      </c>
      <c r="AB210">
        <f>IF($K209=90,48.8278467851456 - 47.806959580207*EXP(-0.277239618115161*($K208/$K207)^-1.54747755889509),IF($K209=75,50.1417823050971 - 49.1135860314465*EXP(-0.301530732764457*($K208/$K207)^-1.54561444953472),IF($K209=60,54.7760811257494 - 53.7540574575869*EXP(-0.304630071575136*($K208/$K207)^-1.55407754771893),IF($K209=45,43.1114956669904 - 42.081470426847*EXP(-0.421774530709856*($K208/$K207)^-1.56548181659313),IF($K209=30,83.6300898181698 - 82.5595081919206*EXP(-0.232275883030308*($K208/$K207)^-1.58789653739729),IF($K209=15,107.103583610419 - 106.022180533241*EXP(-0.173822505110446*($K208/$K207)^-1.54794763569524),))))))</f>
        <v>1.3951385535022496</v>
      </c>
      <c r="AC210">
        <f>IF($K209=90,48.8278467851456 - 47.806959580207*EXP(-0.277239618115161*($K208/$K207)^-1.54747755889509),IF($K209=75,50.1417823050971 - 49.1135860314465*EXP(-0.301530732764457*($K208/$K207)^-1.54561444953472),IF($K209=60,54.7760811257494 - 53.7540574575869*EXP(-0.304630071575136*($K208/$K207)^-1.55407754771893),IF($K209=45,43.1114956669904 - 42.081470426847*EXP(-0.421774530709856*($K208/$K207)^-1.56548181659313),IF($K209=30,83.6300898181698 - 82.5595081919206*EXP(-0.232275883030308*($K208/$K207)^-1.58789653739729),IF($K209=15,107.103583610419 - 106.022180533241*EXP(-0.173822505110446*($K208/$K207)^-1.54794763569524),))))))</f>
        <v>1.3951385535022496</v>
      </c>
      <c r="AD210">
        <f>IF($K209=90,48.8278467851456 - 47.806959580207*EXP(-0.277239618115161*($K208/$K207)^-1.54747755889509),IF($K209=75,50.1417823050971 - 49.1135860314465*EXP(-0.301530732764457*($K208/$K207)^-1.54561444953472),IF($K209=60,54.7760811257494 - 53.7540574575869*EXP(-0.304630071575136*($K208/$K207)^-1.55407754771893),IF($K209=45,43.1114956669904 - 42.081470426847*EXP(-0.421774530709856*($K208/$K207)^-1.56548181659313),IF($K209=30,83.6300898181698 - 82.5595081919206*EXP(-0.232275883030308*($K208/$K207)^-1.58789653739729),IF($K209=15,107.103583610419 - 106.022180533241*EXP(-0.173822505110446*($K208/$K207)^-1.54794763569524),))))))</f>
        <v>1.3951385535022496</v>
      </c>
      <c r="AE210">
        <f>IF($K209=90,48.8278467851456 - 47.806959580207*EXP(-0.277239618115161*($K208/$K207)^-1.54747755889509),IF($K209=75,50.1417823050971 - 49.1135860314465*EXP(-0.301530732764457*($K208/$K207)^-1.54561444953472),IF($K209=60,54.7760811257494 - 53.7540574575869*EXP(-0.304630071575136*($K208/$K207)^-1.55407754771893),IF($K209=45,43.1114956669904 - 42.081470426847*EXP(-0.421774530709856*($K208/$K207)^-1.56548181659313),IF($K209=30,83.6300898181698 - 82.5595081919206*EXP(-0.232275883030308*($K208/$K207)^-1.58789653739729),IF($K209=15,107.103583610419 - 106.022180533241*EXP(-0.173822505110446*($K208/$K207)^-1.54794763569524),))))))</f>
        <v>1.3951385535022496</v>
      </c>
      <c r="AF210">
        <f>IF($K209=90,48.8278467851456 - 47.806959580207*EXP(-0.277239618115161*($K208/$K207)^-1.54747755889509),IF($K209=75,50.1417823050971 - 49.1135860314465*EXP(-0.301530732764457*($K208/$K207)^-1.54561444953472),IF($K209=60,54.7760811257494 - 53.7540574575869*EXP(-0.304630071575136*($K208/$K207)^-1.55407754771893),IF($K209=45,43.1114956669904 - 42.081470426847*EXP(-0.421774530709856*($K208/$K207)^-1.56548181659313),IF($K209=30,83.6300898181698 - 82.5595081919206*EXP(-0.232275883030308*($K208/$K207)^-1.58789653739729),IF($K209=15,107.103583610419 - 106.022180533241*EXP(-0.173822505110446*($K208/$K207)^-1.54794763569524),))))))</f>
        <v>1.3951385535022496</v>
      </c>
      <c r="AG210">
        <f>IF($K209=90,48.8278467851456 - 47.806959580207*EXP(-0.277239618115161*($K208/$K207)^-1.54747755889509),IF($K209=75,50.1417823050971 - 49.1135860314465*EXP(-0.301530732764457*($K208/$K207)^-1.54561444953472),IF($K209=60,54.7760811257494 - 53.7540574575869*EXP(-0.304630071575136*($K208/$K207)^-1.55407754771893),IF($K209=45,43.1114956669904 - 42.081470426847*EXP(-0.421774530709856*($K208/$K207)^-1.56548181659313),IF($K209=30,83.6300898181698 - 82.5595081919206*EXP(-0.232275883030308*($K208/$K207)^-1.58789653739729),IF($K209=15,107.103583610419 - 106.022180533241*EXP(-0.173822505110446*($K208/$K207)^-1.54794763569524),))))))</f>
        <v>1.3951385535022496</v>
      </c>
      <c r="AH210">
        <f>IF($K209=90,48.8278467851456 - 47.806959580207*EXP(-0.277239618115161*($K208/$K207)^-1.54747755889509),IF($K209=75,50.1417823050971 - 49.1135860314465*EXP(-0.301530732764457*($K208/$K207)^-1.54561444953472),IF($K209=60,54.7760811257494 - 53.7540574575869*EXP(-0.304630071575136*($K208/$K207)^-1.55407754771893),IF($K209=45,43.1114956669904 - 42.081470426847*EXP(-0.421774530709856*($K208/$K207)^-1.56548181659313),IF($K209=30,83.6300898181698 - 82.5595081919206*EXP(-0.232275883030308*($K208/$K207)^-1.58789653739729),IF($K209=15,107.103583610419 - 106.022180533241*EXP(-0.173822505110446*($K208/$K207)^-1.54794763569524),))))))</f>
        <v>1.3951385535022496</v>
      </c>
      <c r="AI210">
        <f>IF($K209=90,48.8278467851456 - 47.806959580207*EXP(-0.277239618115161*($K208/$K207)^-1.54747755889509),IF($K209=75,50.1417823050971 - 49.1135860314465*EXP(-0.301530732764457*($K208/$K207)^-1.54561444953472),IF($K209=60,54.7760811257494 - 53.7540574575869*EXP(-0.304630071575136*($K208/$K207)^-1.55407754771893),IF($K209=45,43.1114956669904 - 42.081470426847*EXP(-0.421774530709856*($K208/$K207)^-1.56548181659313),IF($K209=30,83.6300898181698 - 82.5595081919206*EXP(-0.232275883030308*($K208/$K207)^-1.58789653739729),IF($K209=15,107.103583610419 - 106.022180533241*EXP(-0.173822505110446*($K208/$K207)^-1.54794763569524),))))))</f>
        <v>1.3951385535022496</v>
      </c>
      <c r="AJ210">
        <f>IF($K209=90,48.8278467851456 - 47.806959580207*EXP(-0.277239618115161*($K208/$K207)^-1.54747755889509),IF($K209=75,50.1417823050971 - 49.1135860314465*EXP(-0.301530732764457*($K208/$K207)^-1.54561444953472),IF($K209=60,54.7760811257494 - 53.7540574575869*EXP(-0.304630071575136*($K208/$K207)^-1.55407754771893),IF($K209=45,43.1114956669904 - 42.081470426847*EXP(-0.421774530709856*($K208/$K207)^-1.56548181659313),IF($K209=30,83.6300898181698 - 82.5595081919206*EXP(-0.232275883030308*($K208/$K207)^-1.58789653739729),IF($K209=15,107.103583610419 - 106.022180533241*EXP(-0.173822505110446*($K208/$K207)^-1.54794763569524),))))))</f>
        <v>1.3951385535022496</v>
      </c>
      <c r="AK210">
        <f>IF($K209=90,48.8278467851456 - 47.806959580207*EXP(-0.277239618115161*($K208/$K207)^-1.54747755889509),IF($K209=75,50.1417823050971 - 49.1135860314465*EXP(-0.301530732764457*($K208/$K207)^-1.54561444953472),IF($K209=60,54.7760811257494 - 53.7540574575869*EXP(-0.304630071575136*($K208/$K207)^-1.55407754771893),IF($K209=45,43.1114956669904 - 42.081470426847*EXP(-0.421774530709856*($K208/$K207)^-1.56548181659313),IF($K209=30,83.6300898181698 - 82.5595081919206*EXP(-0.232275883030308*($K208/$K207)^-1.58789653739729),IF($K209=15,107.103583610419 - 106.022180533241*EXP(-0.173822505110446*($K208/$K207)^-1.54794763569524),))))))</f>
        <v>1.3951385535022496</v>
      </c>
      <c r="AL210">
        <f>IF($K209=90,48.8278467851456 - 47.806959580207*EXP(-0.277239618115161*($K208/$K207)^-1.54747755889509),IF($K209=75,50.1417823050971 - 49.1135860314465*EXP(-0.301530732764457*($K208/$K207)^-1.54561444953472),IF($K209=60,54.7760811257494 - 53.7540574575869*EXP(-0.304630071575136*($K208/$K207)^-1.55407754771893),IF($K209=45,43.1114956669904 - 42.081470426847*EXP(-0.421774530709856*($K208/$K207)^-1.56548181659313),IF($K209=30,83.6300898181698 - 82.5595081919206*EXP(-0.232275883030308*($K208/$K207)^-1.58789653739729),IF($K209=15,107.103583610419 - 106.022180533241*EXP(-0.173822505110446*($K208/$K207)^-1.54794763569524),))))))</f>
        <v>1.3951385535022496</v>
      </c>
      <c r="AM210">
        <f>IF($K209=90,48.8278467851456 - 47.806959580207*EXP(-0.277239618115161*($K208/$K207)^-1.54747755889509),IF($K209=75,50.1417823050971 - 49.1135860314465*EXP(-0.301530732764457*($K208/$K207)^-1.54561444953472),IF($K209=60,54.7760811257494 - 53.7540574575869*EXP(-0.304630071575136*($K208/$K207)^-1.55407754771893),IF($K209=45,43.1114956669904 - 42.081470426847*EXP(-0.421774530709856*($K208/$K207)^-1.56548181659313),IF($K209=30,83.6300898181698 - 82.5595081919206*EXP(-0.232275883030308*($K208/$K207)^-1.58789653739729),IF($K209=15,107.103583610419 - 106.022180533241*EXP(-0.173822505110446*($K208/$K207)^-1.54794763569524),))))))</f>
        <v>1.3951385535022496</v>
      </c>
      <c r="AN210">
        <f>IF($K209=90,48.8278467851456 - 47.806959580207*EXP(-0.277239618115161*($K208/$K207)^-1.54747755889509),IF($K209=75,50.1417823050971 - 49.1135860314465*EXP(-0.301530732764457*($K208/$K207)^-1.54561444953472),IF($K209=60,54.7760811257494 - 53.7540574575869*EXP(-0.304630071575136*($K208/$K207)^-1.55407754771893),IF($K209=45,43.1114956669904 - 42.081470426847*EXP(-0.421774530709856*($K208/$K207)^-1.56548181659313),IF($K209=30,83.6300898181698 - 82.5595081919206*EXP(-0.232275883030308*($K208/$K207)^-1.58789653739729),IF($K209=15,107.103583610419 - 106.022180533241*EXP(-0.173822505110446*($K208/$K207)^-1.54794763569524),))))))</f>
        <v>1.3951385535022496</v>
      </c>
      <c r="AQ210">
        <v>187</v>
      </c>
      <c r="AR210" s="14">
        <v>4.1546472614398775</v>
      </c>
      <c r="AS210" s="13">
        <f t="shared" si="41"/>
        <v>40671.285366693592</v>
      </c>
      <c r="AT210" s="9">
        <v>3.307310393082429</v>
      </c>
      <c r="AU210" s="13">
        <f t="shared" si="42"/>
        <v>32376.410397514454</v>
      </c>
    </row>
    <row r="211" spans="1:47" x14ac:dyDescent="0.35">
      <c r="A211">
        <f t="shared" si="37"/>
        <v>188</v>
      </c>
      <c r="B211" s="13">
        <f t="shared" si="38"/>
        <v>40608.564237888677</v>
      </c>
      <c r="F211">
        <f t="shared" si="39"/>
        <v>188</v>
      </c>
      <c r="G211" s="13">
        <f t="shared" si="40"/>
        <v>32349.664776560585</v>
      </c>
      <c r="AB211">
        <f>IF(AND($J135="Schlauch 8 mm 0,5 Meter",M$19*1000^2/($M$16*($K80/2000)^2*PI())*($K80/1000)/$O$16&gt;1000),2.3,IF(AND($J135="Schlauch 10 mm 0,5 Meter",M$19*1000^2/($M$16*($K80/2000)^2*PI())*($K80/1000)/$O$16&gt;1000),2.3,IF(AND($J135="Schlauch 13 mm 0,5 Meter",M$19*1000^2/($M$16*($K80/2000)^2*PI())*($K80/1000)/$O$16&gt;1000),2.3,1)))</f>
        <v>1</v>
      </c>
      <c r="AC211">
        <f>IF(AND($J135="Schlauch 8 mm 0,5 Meter",N$19*1000^2/($M$16*($K80/2000)^2*PI())*($K80/1000)/$O$16&gt;1000),2.3,IF(AND($J135="Schlauch 10 mm 0,5 Meter",N$19*1000^2/($M$16*($K80/2000)^2*PI())*($K80/1000)/$O$16&gt;1000),2.3,IF(AND($J135="Schlauch 13 mm 0,5 Meter",N$19*1000^2/($M$16*($K80/2000)^2*PI())*($K80/1000)/$O$16&gt;1000),2.3,1)))</f>
        <v>2.2999999999999998</v>
      </c>
      <c r="AD211">
        <f>IF(AND($J135="Schlauch 8 mm 0,5 Meter",O$19*1000^2/($M$16*($K80/2000)^2*PI())*($K80/1000)/$O$16&gt;1000),2.3,IF(AND($J135="Schlauch 10 mm 0,5 Meter",O$19*1000^2/($M$16*($K80/2000)^2*PI())*($K80/1000)/$O$16&gt;1000),2.3,IF(AND($J135="Schlauch 13 mm 0,5 Meter",O$19*1000^2/($M$16*($K80/2000)^2*PI())*($K80/1000)/$O$16&gt;1000),2.3,1)))</f>
        <v>2.2999999999999998</v>
      </c>
      <c r="AE211">
        <f>IF(AND($J135="Schlauch 8 mm 0,5 Meter",P$19*1000^2/($M$16*($K80/2000)^2*PI())*($K80/1000)/$O$16&gt;1000),2.3,IF(AND($J135="Schlauch 10 mm 0,5 Meter",P$19*1000^2/($M$16*($K80/2000)^2*PI())*($K80/1000)/$O$16&gt;1000),2.3,IF(AND($J135="Schlauch 13 mm 0,5 Meter",P$19*1000^2/($M$16*($K80/2000)^2*PI())*($K80/1000)/$O$16&gt;1000),2.3,1)))</f>
        <v>2.2999999999999998</v>
      </c>
      <c r="AF211">
        <f>IF(AND($J135="Schlauch 8 mm 0,5 Meter",Q$19*1000^2/($M$16*($K80/2000)^2*PI())*($K80/1000)/$O$16&gt;1000),2.3,IF(AND($J135="Schlauch 10 mm 0,5 Meter",Q$19*1000^2/($M$16*($K80/2000)^2*PI())*($K80/1000)/$O$16&gt;1000),2.3,IF(AND($J135="Schlauch 13 mm 0,5 Meter",Q$19*1000^2/($M$16*($K80/2000)^2*PI())*($K80/1000)/$O$16&gt;1000),2.3,1)))</f>
        <v>2.2999999999999998</v>
      </c>
      <c r="AG211">
        <f>IF(AND($J135="Schlauch 8 mm 0,5 Meter",R$19*1000^2/($M$16*($K80/2000)^2*PI())*($K80/1000)/$O$16&gt;1000),2.3,IF(AND($J135="Schlauch 10 mm 0,5 Meter",R$19*1000^2/($M$16*($K80/2000)^2*PI())*($K80/1000)/$O$16&gt;1000),2.3,IF(AND($J135="Schlauch 13 mm 0,5 Meter",R$19*1000^2/($M$16*($K80/2000)^2*PI())*($K80/1000)/$O$16&gt;1000),2.3,1)))</f>
        <v>2.2999999999999998</v>
      </c>
      <c r="AH211">
        <f>IF(AND($J135="Schlauch 8 mm 0,5 Meter",S$19*1000^2/($M$16*($K80/2000)^2*PI())*($K80/1000)/$O$16&gt;1000),2.3,IF(AND($J135="Schlauch 10 mm 0,5 Meter",S$19*1000^2/($M$16*($K80/2000)^2*PI())*($K80/1000)/$O$16&gt;1000),2.3,IF(AND($J135="Schlauch 13 mm 0,5 Meter",S$19*1000^2/($M$16*($K80/2000)^2*PI())*($K80/1000)/$O$16&gt;1000),2.3,1)))</f>
        <v>2.2999999999999998</v>
      </c>
      <c r="AI211">
        <f>IF(AND($J135="Schlauch 8 mm 0,5 Meter",T$19*1000^2/($M$16*($K80/2000)^2*PI())*($K80/1000)/$O$16&gt;1000),2.3,IF(AND($J135="Schlauch 10 mm 0,5 Meter",T$19*1000^2/($M$16*($K80/2000)^2*PI())*($K80/1000)/$O$16&gt;1000),2.3,IF(AND($J135="Schlauch 13 mm 0,5 Meter",T$19*1000^2/($M$16*($K80/2000)^2*PI())*($K80/1000)/$O$16&gt;1000),2.3,1)))</f>
        <v>2.2999999999999998</v>
      </c>
      <c r="AJ211">
        <f>IF(AND($J135="Schlauch 8 mm 0,5 Meter",U$19*1000^2/($M$16*($K80/2000)^2*PI())*($K80/1000)/$O$16&gt;1000),2.3,IF(AND($J135="Schlauch 10 mm 0,5 Meter",U$19*1000^2/($M$16*($K80/2000)^2*PI())*($K80/1000)/$O$16&gt;1000),2.3,IF(AND($J135="Schlauch 13 mm 0,5 Meter",U$19*1000^2/($M$16*($K80/2000)^2*PI())*($K80/1000)/$O$16&gt;1000),2.3,1)))</f>
        <v>2.2999999999999998</v>
      </c>
      <c r="AK211">
        <f>IF(AND($J135="Schlauch 8 mm 0,5 Meter",V$19*1000^2/($M$16*($K80/2000)^2*PI())*($K80/1000)/$O$16&gt;1000),2.3,IF(AND($J135="Schlauch 10 mm 0,5 Meter",V$19*1000^2/($M$16*($K80/2000)^2*PI())*($K80/1000)/$O$16&gt;1000),2.3,IF(AND($J135="Schlauch 13 mm 0,5 Meter",V$19*1000^2/($M$16*($K80/2000)^2*PI())*($K80/1000)/$O$16&gt;1000),2.3,1)))</f>
        <v>2.2999999999999998</v>
      </c>
      <c r="AL211">
        <f>IF(AND($J135="Schlauch 8 mm 0,5 Meter",W$19*1000^2/($M$16*($K80/2000)^2*PI())*($K80/1000)/$O$16&gt;1000),2.3,IF(AND($J135="Schlauch 10 mm 0,5 Meter",W$19*1000^2/($M$16*($K80/2000)^2*PI())*($K80/1000)/$O$16&gt;1000),2.3,IF(AND($J135="Schlauch 13 mm 0,5 Meter",W$19*1000^2/($M$16*($K80/2000)^2*PI())*($K80/1000)/$O$16&gt;1000),2.3,1)))</f>
        <v>2.2999999999999998</v>
      </c>
      <c r="AM211">
        <f>IF(AND($J135="Schlauch 8 mm 0,5 Meter",X$19*1000^2/($M$16*($K80/2000)^2*PI())*($K80/1000)/$O$16&gt;1000),2.3,IF(AND($J135="Schlauch 10 mm 0,5 Meter",X$19*1000^2/($M$16*($K80/2000)^2*PI())*($K80/1000)/$O$16&gt;1000),2.3,IF(AND($J135="Schlauch 13 mm 0,5 Meter",X$19*1000^2/($M$16*($K80/2000)^2*PI())*($K80/1000)/$O$16&gt;1000),2.3,1)))</f>
        <v>2.2999999999999998</v>
      </c>
      <c r="AN211">
        <f>IF(AND($J135="Schlauch 8 mm 0,5 Meter",Y$19*1000^2/($M$16*($K80/2000)^2*PI())*($K80/1000)/$O$16&gt;1000),2.3,IF(AND($J135="Schlauch 10 mm 0,5 Meter",Y$19*1000^2/($M$16*($K80/2000)^2*PI())*($K80/1000)/$O$16&gt;1000),2.3,IF(AND($J135="Schlauch 13 mm 0,5 Meter",Y$19*1000^2/($M$16*($K80/2000)^2*PI())*($K80/1000)/$O$16&gt;1000),2.3,1)))</f>
        <v>2.2999999999999998</v>
      </c>
      <c r="AQ211">
        <v>188</v>
      </c>
      <c r="AR211" s="14">
        <v>4.1482401817600909</v>
      </c>
      <c r="AS211" s="13">
        <f t="shared" si="41"/>
        <v>40608.564237888677</v>
      </c>
      <c r="AT211" s="9">
        <v>3.3045782782783437</v>
      </c>
      <c r="AU211" s="13">
        <f t="shared" si="42"/>
        <v>32349.664776560585</v>
      </c>
    </row>
    <row r="212" spans="1:47" x14ac:dyDescent="0.35">
      <c r="A212">
        <f t="shared" si="37"/>
        <v>189</v>
      </c>
      <c r="B212" s="13">
        <f t="shared" si="38"/>
        <v>40545.444837766147</v>
      </c>
      <c r="F212">
        <f t="shared" si="39"/>
        <v>189</v>
      </c>
      <c r="G212" s="13">
        <f t="shared" si="40"/>
        <v>32322.876442182329</v>
      </c>
      <c r="AQ212">
        <v>189</v>
      </c>
      <c r="AR212" s="14">
        <v>4.1417924179262595</v>
      </c>
      <c r="AS212" s="13">
        <f t="shared" si="41"/>
        <v>40545.444837766147</v>
      </c>
      <c r="AT212" s="9">
        <v>3.3018418002187078</v>
      </c>
      <c r="AU212" s="13">
        <f t="shared" si="42"/>
        <v>32322.876442182329</v>
      </c>
    </row>
    <row r="213" spans="1:47" x14ac:dyDescent="0.35">
      <c r="A213">
        <f t="shared" si="37"/>
        <v>190</v>
      </c>
      <c r="B213" s="13">
        <f t="shared" si="38"/>
        <v>40481.926764680567</v>
      </c>
      <c r="F213">
        <f t="shared" si="39"/>
        <v>190</v>
      </c>
      <c r="G213" s="13">
        <f t="shared" si="40"/>
        <v>32296.045552704676</v>
      </c>
      <c r="J213" t="s">
        <v>39</v>
      </c>
      <c r="K213">
        <v>2</v>
      </c>
      <c r="AQ213">
        <v>190</v>
      </c>
      <c r="AR213" s="14">
        <v>4.1353039289095577</v>
      </c>
      <c r="AS213" s="13">
        <f t="shared" si="41"/>
        <v>40481.926764680567</v>
      </c>
      <c r="AT213" s="9">
        <v>3.2991009750767115</v>
      </c>
      <c r="AU213" s="13">
        <f t="shared" si="42"/>
        <v>32296.045552704676</v>
      </c>
    </row>
    <row r="214" spans="1:47" x14ac:dyDescent="0.35">
      <c r="A214">
        <f t="shared" si="37"/>
        <v>191</v>
      </c>
      <c r="B214" s="13">
        <f t="shared" si="38"/>
        <v>40418.009618704178</v>
      </c>
      <c r="F214">
        <f t="shared" si="39"/>
        <v>191</v>
      </c>
      <c r="G214" s="13">
        <f t="shared" si="40"/>
        <v>32269.172265034853</v>
      </c>
      <c r="J214" t="s">
        <v>40</v>
      </c>
      <c r="K214">
        <v>2</v>
      </c>
      <c r="AQ214">
        <v>191</v>
      </c>
      <c r="AR214" s="14">
        <v>4.128774673856622</v>
      </c>
      <c r="AS214" s="13">
        <f t="shared" si="41"/>
        <v>40418.009618704178</v>
      </c>
      <c r="AT214" s="9">
        <v>3.2963558188807203</v>
      </c>
      <c r="AU214" s="13">
        <f t="shared" si="42"/>
        <v>32269.172265034853</v>
      </c>
    </row>
    <row r="215" spans="1:47" x14ac:dyDescent="0.35">
      <c r="A215">
        <f t="shared" si="37"/>
        <v>192</v>
      </c>
      <c r="B215" s="13">
        <f t="shared" si="38"/>
        <v>40353.693001610547</v>
      </c>
      <c r="F215">
        <f t="shared" si="39"/>
        <v>192</v>
      </c>
      <c r="G215" s="13">
        <f t="shared" si="40"/>
        <v>32242.256734682433</v>
      </c>
      <c r="J215" t="s">
        <v>41</v>
      </c>
      <c r="K215">
        <v>1</v>
      </c>
      <c r="AQ215">
        <v>192</v>
      </c>
      <c r="AR215" s="14">
        <v>4.1222046120878852</v>
      </c>
      <c r="AS215" s="13">
        <f t="shared" si="41"/>
        <v>40353.693001610547</v>
      </c>
      <c r="AT215" s="9">
        <v>3.2936063475163246</v>
      </c>
      <c r="AU215" s="13">
        <f t="shared" si="42"/>
        <v>32242.256734682433</v>
      </c>
    </row>
    <row r="216" spans="1:47" x14ac:dyDescent="0.35">
      <c r="A216">
        <f t="shared" ref="A216:A279" si="43">AQ216*B$16*B$17</f>
        <v>193</v>
      </c>
      <c r="B216" s="13">
        <f t="shared" ref="B216:B279" si="44">IF(B$14="DDC-1T+",AS216*B$15*B$17^2,AU216*B$15*B$17^2)</f>
        <v>40288.976516858558</v>
      </c>
      <c r="F216">
        <f t="shared" ref="F216:F279" si="45">AQ216*G$16*G$17</f>
        <v>193</v>
      </c>
      <c r="G216" s="13">
        <f t="shared" ref="G216:G279" si="46">IF(G$14="DDC-1T+",AS216*G$15*G$17^2,AU216*G$15*G$17^2)</f>
        <v>32215.299115778973</v>
      </c>
      <c r="J216" t="s">
        <v>42</v>
      </c>
      <c r="K216">
        <v>3</v>
      </c>
      <c r="AQ216">
        <v>193</v>
      </c>
      <c r="AR216" s="14">
        <v>4.115593703095934</v>
      </c>
      <c r="AS216" s="13">
        <f t="shared" ref="AS216:AS279" si="47">AR216*998.2*9.807</f>
        <v>40288.976516858558</v>
      </c>
      <c r="AT216" s="9">
        <v>3.2908525767283496</v>
      </c>
      <c r="AU216" s="13">
        <f t="shared" ref="AU216:AU279" si="48">AT216*998.2*9.807</f>
        <v>32215.299115778973</v>
      </c>
    </row>
    <row r="217" spans="1:47" x14ac:dyDescent="0.35">
      <c r="A217">
        <f t="shared" si="43"/>
        <v>194</v>
      </c>
      <c r="B217" s="13">
        <f t="shared" si="44"/>
        <v>40223.859769576462</v>
      </c>
      <c r="F217">
        <f t="shared" si="45"/>
        <v>194</v>
      </c>
      <c r="G217" s="13">
        <f t="shared" si="46"/>
        <v>32188.299561097323</v>
      </c>
      <c r="J217" t="s">
        <v>43</v>
      </c>
      <c r="K217">
        <v>0</v>
      </c>
      <c r="AQ217">
        <v>194</v>
      </c>
      <c r="AR217" s="14">
        <v>4.1089419065438886</v>
      </c>
      <c r="AS217" s="13">
        <f t="shared" si="47"/>
        <v>40223.859769576462</v>
      </c>
      <c r="AT217" s="9">
        <v>3.288094522122825</v>
      </c>
      <c r="AU217" s="13">
        <f t="shared" si="48"/>
        <v>32188.299561097323</v>
      </c>
    </row>
    <row r="218" spans="1:47" x14ac:dyDescent="0.35">
      <c r="A218">
        <f t="shared" si="43"/>
        <v>195</v>
      </c>
      <c r="B218" s="13">
        <f t="shared" si="44"/>
        <v>40158.342366546305</v>
      </c>
      <c r="F218">
        <f t="shared" si="45"/>
        <v>195</v>
      </c>
      <c r="G218" s="13">
        <f t="shared" si="46"/>
        <v>32161.258222070559</v>
      </c>
      <c r="J218" t="s">
        <v>44</v>
      </c>
      <c r="K218">
        <v>0</v>
      </c>
      <c r="AQ218">
        <v>195</v>
      </c>
      <c r="AR218" s="14">
        <v>4.1022491822638045</v>
      </c>
      <c r="AS218" s="13">
        <f t="shared" si="47"/>
        <v>40158.342366546305</v>
      </c>
      <c r="AT218" s="9">
        <v>3.2853321991689208</v>
      </c>
      <c r="AU218" s="13">
        <f t="shared" si="48"/>
        <v>32161.258222070559</v>
      </c>
    </row>
    <row r="219" spans="1:47" x14ac:dyDescent="0.35">
      <c r="A219">
        <f t="shared" si="43"/>
        <v>196</v>
      </c>
      <c r="B219" s="13">
        <f t="shared" si="44"/>
        <v>40092.42391618852</v>
      </c>
      <c r="F219">
        <f t="shared" si="45"/>
        <v>196</v>
      </c>
      <c r="G219" s="13">
        <f t="shared" si="46"/>
        <v>32134.175248810512</v>
      </c>
      <c r="J219" t="s">
        <v>45</v>
      </c>
      <c r="K219">
        <v>0</v>
      </c>
      <c r="AQ219">
        <v>196</v>
      </c>
      <c r="AR219" s="14">
        <v>4.095515490255103</v>
      </c>
      <c r="AS219" s="13">
        <f t="shared" si="47"/>
        <v>40092.42391618852</v>
      </c>
      <c r="AT219" s="9">
        <v>3.2825656232008389</v>
      </c>
      <c r="AU219" s="13">
        <f t="shared" si="48"/>
        <v>32134.175248810512</v>
      </c>
    </row>
    <row r="220" spans="1:47" x14ac:dyDescent="0.35">
      <c r="A220">
        <f t="shared" si="43"/>
        <v>197</v>
      </c>
      <c r="B220" s="13">
        <f t="shared" si="44"/>
        <v>40026.104028546753</v>
      </c>
      <c r="F220">
        <f t="shared" si="45"/>
        <v>197</v>
      </c>
      <c r="G220" s="13">
        <f t="shared" si="46"/>
        <v>32107.050790126032</v>
      </c>
      <c r="J220" t="s">
        <v>46</v>
      </c>
      <c r="K220">
        <v>0</v>
      </c>
      <c r="AQ220">
        <v>197</v>
      </c>
      <c r="AR220" s="14">
        <v>4.0887407906830182</v>
      </c>
      <c r="AS220" s="13">
        <f t="shared" si="47"/>
        <v>40026.104028546753</v>
      </c>
      <c r="AT220" s="9">
        <v>3.2797948094196787</v>
      </c>
      <c r="AU220" s="13">
        <f t="shared" si="48"/>
        <v>32107.050790126032</v>
      </c>
    </row>
    <row r="221" spans="1:47" x14ac:dyDescent="0.35">
      <c r="A221">
        <f t="shared" si="43"/>
        <v>198</v>
      </c>
      <c r="B221" s="13">
        <f t="shared" si="44"/>
        <v>39959.382315272895</v>
      </c>
      <c r="F221">
        <f t="shared" si="45"/>
        <v>198</v>
      </c>
      <c r="G221" s="13">
        <f t="shared" si="46"/>
        <v>32079.884993540822</v>
      </c>
      <c r="J221" t="s">
        <v>47</v>
      </c>
      <c r="K221">
        <v>0</v>
      </c>
      <c r="AQ221">
        <v>198</v>
      </c>
      <c r="AR221" s="14">
        <v>4.0819250438770709</v>
      </c>
      <c r="AS221" s="13">
        <f t="shared" si="47"/>
        <v>39959.382315272895</v>
      </c>
      <c r="AT221" s="9">
        <v>3.2770197728952613</v>
      </c>
      <c r="AU221" s="13">
        <f t="shared" si="48"/>
        <v>32079.884993540822</v>
      </c>
    </row>
    <row r="222" spans="1:47" x14ac:dyDescent="0.35">
      <c r="A222">
        <f t="shared" si="43"/>
        <v>199</v>
      </c>
      <c r="B222" s="13">
        <f t="shared" si="44"/>
        <v>39892.258389612354</v>
      </c>
      <c r="F222">
        <f t="shared" si="45"/>
        <v>199</v>
      </c>
      <c r="G222" s="13">
        <f t="shared" si="46"/>
        <v>32052.678005310987</v>
      </c>
      <c r="J222" t="s">
        <v>48</v>
      </c>
      <c r="K222">
        <v>0</v>
      </c>
      <c r="AQ222">
        <v>199</v>
      </c>
      <c r="AR222" s="14">
        <v>4.0750682103295617</v>
      </c>
      <c r="AS222" s="13">
        <f t="shared" si="47"/>
        <v>39892.258389612354</v>
      </c>
      <c r="AT222" s="9">
        <v>3.274240528567919</v>
      </c>
      <c r="AU222" s="13">
        <f t="shared" si="48"/>
        <v>32052.678005310987</v>
      </c>
    </row>
    <row r="223" spans="1:47" x14ac:dyDescent="0.35">
      <c r="A223">
        <f t="shared" si="43"/>
        <v>200</v>
      </c>
      <c r="B223" s="13">
        <f t="shared" si="44"/>
        <v>39824.731866389498</v>
      </c>
      <c r="F223">
        <f t="shared" si="45"/>
        <v>200</v>
      </c>
      <c r="G223" s="13">
        <f t="shared" si="46"/>
        <v>32025.429970442266</v>
      </c>
      <c r="AQ223">
        <v>200</v>
      </c>
      <c r="AR223" s="14">
        <v>4.0681702506940853</v>
      </c>
      <c r="AS223" s="13">
        <f t="shared" si="47"/>
        <v>39824.731866389498</v>
      </c>
      <c r="AT223" s="9">
        <v>3.271457091250257</v>
      </c>
      <c r="AU223" s="13">
        <f t="shared" si="48"/>
        <v>32025.429970442266</v>
      </c>
    </row>
    <row r="224" spans="1:47" x14ac:dyDescent="0.35">
      <c r="A224">
        <f t="shared" si="43"/>
        <v>201</v>
      </c>
      <c r="B224" s="13">
        <f t="shared" si="44"/>
        <v>39756.802361993294</v>
      </c>
      <c r="F224">
        <f t="shared" si="45"/>
        <v>201</v>
      </c>
      <c r="G224" s="13">
        <f t="shared" si="46"/>
        <v>31998.141032706906</v>
      </c>
      <c r="L224" s="12" t="s">
        <v>12</v>
      </c>
      <c r="M224" s="10">
        <f>M156*$K213+M162*$K214+M168*$K215+M174*$K216+M180*$K217+M186*$K218+M192*$K219+M198*$K220+M204*$K221+M210*$K222</f>
        <v>0</v>
      </c>
      <c r="N224" s="10">
        <f t="shared" ref="N224:Y224" si="49">N156*$K213+N162*$K214+N168*$K215+N174*$K216+N180*$K217+N186*$K218+N192*$K219+N198*$K220+N204*$K221+N210*$K222</f>
        <v>60.350807313795315</v>
      </c>
      <c r="O224" s="10">
        <f t="shared" si="49"/>
        <v>183.27789680383137</v>
      </c>
      <c r="P224" s="10">
        <f t="shared" si="49"/>
        <v>342.1279242554437</v>
      </c>
      <c r="Q224" s="10">
        <f t="shared" si="49"/>
        <v>541.48868874189725</v>
      </c>
      <c r="R224" s="10">
        <f t="shared" si="49"/>
        <v>778.75077542759891</v>
      </c>
      <c r="S224" s="10">
        <f t="shared" si="49"/>
        <v>1051.9796147086115</v>
      </c>
      <c r="T224" s="10">
        <f t="shared" si="49"/>
        <v>1359.6534026973964</v>
      </c>
      <c r="U224" s="10">
        <f t="shared" si="49"/>
        <v>1700.5270228386566</v>
      </c>
      <c r="V224" s="10">
        <f t="shared" si="49"/>
        <v>2073.5526987455592</v>
      </c>
      <c r="W224" s="10">
        <f t="shared" si="49"/>
        <v>2477.8298851306686</v>
      </c>
      <c r="X224" s="10">
        <f t="shared" si="49"/>
        <v>2912.5717128060487</v>
      </c>
      <c r="Y224" s="10">
        <f t="shared" si="49"/>
        <v>3377.0814834578941</v>
      </c>
      <c r="AQ224">
        <v>201</v>
      </c>
      <c r="AR224" s="14">
        <v>4.0612311257840634</v>
      </c>
      <c r="AS224" s="13">
        <f t="shared" si="47"/>
        <v>39756.802361993294</v>
      </c>
      <c r="AT224" s="9">
        <v>3.2686694756288763</v>
      </c>
      <c r="AU224" s="13">
        <f t="shared" si="48"/>
        <v>31998.141032706906</v>
      </c>
    </row>
    <row r="225" spans="1:47" x14ac:dyDescent="0.35">
      <c r="A225">
        <f t="shared" si="43"/>
        <v>202</v>
      </c>
      <c r="B225" s="13">
        <f t="shared" si="44"/>
        <v>39688.469494363293</v>
      </c>
      <c r="F225">
        <f t="shared" si="45"/>
        <v>202</v>
      </c>
      <c r="G225" s="13">
        <f t="shared" si="46"/>
        <v>31970.811334660219</v>
      </c>
      <c r="AQ225">
        <v>202</v>
      </c>
      <c r="AR225" s="14">
        <v>4.0542507965713108</v>
      </c>
      <c r="AS225" s="13">
        <f t="shared" si="47"/>
        <v>39688.469494363293</v>
      </c>
      <c r="AT225" s="9">
        <v>3.2658776962660676</v>
      </c>
      <c r="AU225" s="13">
        <f t="shared" si="48"/>
        <v>31970.811334660219</v>
      </c>
    </row>
    <row r="226" spans="1:47" x14ac:dyDescent="0.35">
      <c r="A226">
        <f t="shared" si="43"/>
        <v>203</v>
      </c>
      <c r="B226" s="13">
        <f t="shared" si="44"/>
        <v>39619.732882975579</v>
      </c>
      <c r="F226">
        <f t="shared" si="45"/>
        <v>203</v>
      </c>
      <c r="G226" s="13">
        <f t="shared" si="46"/>
        <v>31943.441017656918</v>
      </c>
      <c r="AQ226">
        <v>203</v>
      </c>
      <c r="AR226" s="14">
        <v>4.047229224184604</v>
      </c>
      <c r="AS226" s="13">
        <f t="shared" si="47"/>
        <v>39619.732882975579</v>
      </c>
      <c r="AT226" s="9">
        <v>3.2630817676014763</v>
      </c>
      <c r="AU226" s="13">
        <f t="shared" si="48"/>
        <v>31943.441017656918</v>
      </c>
    </row>
    <row r="227" spans="1:47" x14ac:dyDescent="0.35">
      <c r="A227">
        <f t="shared" si="43"/>
        <v>204</v>
      </c>
      <c r="B227" s="13">
        <f t="shared" si="44"/>
        <v>39550.592148829011</v>
      </c>
      <c r="F227">
        <f t="shared" si="45"/>
        <v>204</v>
      </c>
      <c r="G227" s="13">
        <f t="shared" si="46"/>
        <v>31916.030221867055</v>
      </c>
      <c r="AQ227">
        <v>204</v>
      </c>
      <c r="AR227" s="14">
        <v>4.0401663699082748</v>
      </c>
      <c r="AS227" s="13">
        <f t="shared" si="47"/>
        <v>39550.592148829011</v>
      </c>
      <c r="AT227" s="9">
        <v>3.260281703953734</v>
      </c>
      <c r="AU227" s="13">
        <f t="shared" si="48"/>
        <v>31916.030221867055</v>
      </c>
    </row>
    <row r="228" spans="1:47" x14ac:dyDescent="0.35">
      <c r="A228">
        <f t="shared" si="43"/>
        <v>205</v>
      </c>
      <c r="B228" s="13">
        <f t="shared" si="44"/>
        <v>39481.046914431776</v>
      </c>
      <c r="F228">
        <f t="shared" si="45"/>
        <v>205</v>
      </c>
      <c r="G228" s="13">
        <f t="shared" si="46"/>
        <v>31888.579086291724</v>
      </c>
      <c r="L228" s="4" t="s">
        <v>85</v>
      </c>
      <c r="M228" s="11">
        <f>M19*3600*($M$16/1000)</f>
        <v>0</v>
      </c>
      <c r="N228" s="11">
        <f t="shared" ref="N228:Y228" si="50">N19*3600*($M$16/1000)</f>
        <v>28.628336825305844</v>
      </c>
      <c r="O228" s="11">
        <f t="shared" si="50"/>
        <v>50.099589444285222</v>
      </c>
      <c r="P228" s="11">
        <f t="shared" si="50"/>
        <v>71.570842063264607</v>
      </c>
      <c r="Q228" s="11">
        <f t="shared" si="50"/>
        <v>93.042094682243984</v>
      </c>
      <c r="R228" s="11">
        <f t="shared" si="50"/>
        <v>114.51334730122338</v>
      </c>
      <c r="S228" s="11">
        <f t="shared" si="50"/>
        <v>135.98459992020275</v>
      </c>
      <c r="T228" s="11">
        <f t="shared" si="50"/>
        <v>157.45585253918213</v>
      </c>
      <c r="U228" s="11">
        <f t="shared" si="50"/>
        <v>178.92710515816151</v>
      </c>
      <c r="V228" s="11">
        <f t="shared" si="50"/>
        <v>200.39835777714089</v>
      </c>
      <c r="W228" s="11">
        <f t="shared" si="50"/>
        <v>221.86961039612027</v>
      </c>
      <c r="X228" s="11">
        <f t="shared" si="50"/>
        <v>243.34086301509967</v>
      </c>
      <c r="Y228" s="11">
        <f t="shared" si="50"/>
        <v>264.81211563407902</v>
      </c>
      <c r="AQ228">
        <v>205</v>
      </c>
      <c r="AR228" s="14">
        <v>4.0330621951808325</v>
      </c>
      <c r="AS228" s="13">
        <f t="shared" si="47"/>
        <v>39481.046914431776</v>
      </c>
      <c r="AT228" s="9">
        <v>3.2574775195220593</v>
      </c>
      <c r="AU228" s="13">
        <f t="shared" si="48"/>
        <v>31888.579086291724</v>
      </c>
    </row>
    <row r="229" spans="1:47" ht="18.5" x14ac:dyDescent="0.45">
      <c r="A229">
        <f t="shared" si="43"/>
        <v>206</v>
      </c>
      <c r="B229" s="13">
        <f t="shared" si="44"/>
        <v>39411.096803788016</v>
      </c>
      <c r="F229">
        <f t="shared" si="45"/>
        <v>206</v>
      </c>
      <c r="G229" s="13">
        <f t="shared" si="46"/>
        <v>31861.087748778471</v>
      </c>
      <c r="J229" s="3" t="s">
        <v>77</v>
      </c>
      <c r="L229" s="5" t="s">
        <v>12</v>
      </c>
      <c r="M229" s="10">
        <f>M41+M67+M122+M149+M224</f>
        <v>0</v>
      </c>
      <c r="N229" s="10">
        <f t="shared" ref="N229:Y229" si="51">N41+N67+N122+N149+N224</f>
        <v>4232.1291810404955</v>
      </c>
      <c r="O229" s="10">
        <f t="shared" si="51"/>
        <v>8870.3840359498063</v>
      </c>
      <c r="P229" s="10">
        <f t="shared" si="51"/>
        <v>14679.28803674253</v>
      </c>
      <c r="Q229" s="10">
        <f t="shared" si="51"/>
        <v>21584.107538656172</v>
      </c>
      <c r="R229" s="10">
        <f t="shared" si="51"/>
        <v>29548.140926320284</v>
      </c>
      <c r="S229" s="10">
        <f t="shared" si="51"/>
        <v>38577.570124650258</v>
      </c>
      <c r="T229" s="10">
        <f t="shared" si="51"/>
        <v>48673.624014406007</v>
      </c>
      <c r="U229" s="10">
        <f t="shared" si="51"/>
        <v>59783.323506668414</v>
      </c>
      <c r="V229" s="10">
        <f t="shared" si="51"/>
        <v>71975.828719385463</v>
      </c>
      <c r="W229" s="10">
        <f t="shared" si="51"/>
        <v>85159.336490128146</v>
      </c>
      <c r="X229" s="10">
        <f t="shared" si="51"/>
        <v>99409.399893436901</v>
      </c>
      <c r="Y229" s="10">
        <f t="shared" si="51"/>
        <v>114634.7037587846</v>
      </c>
      <c r="AQ229">
        <v>206</v>
      </c>
      <c r="AR229" s="14">
        <v>4.0259166615936026</v>
      </c>
      <c r="AS229" s="13">
        <f t="shared" si="47"/>
        <v>39411.096803788016</v>
      </c>
      <c r="AT229" s="9">
        <v>3.254669228387836</v>
      </c>
      <c r="AU229" s="13">
        <f t="shared" si="48"/>
        <v>31861.087748778471</v>
      </c>
    </row>
    <row r="230" spans="1:47" x14ac:dyDescent="0.35">
      <c r="A230">
        <f t="shared" si="43"/>
        <v>207</v>
      </c>
      <c r="B230" s="13">
        <f t="shared" si="44"/>
        <v>39340.741442384504</v>
      </c>
      <c r="F230">
        <f t="shared" si="45"/>
        <v>207</v>
      </c>
      <c r="G230" s="13">
        <f t="shared" si="46"/>
        <v>31833.556346036421</v>
      </c>
      <c r="AQ230">
        <v>207</v>
      </c>
      <c r="AR230" s="14">
        <v>4.0187297308893646</v>
      </c>
      <c r="AS230" s="13">
        <f t="shared" si="47"/>
        <v>39340.741442384504</v>
      </c>
      <c r="AT230" s="9">
        <v>3.251856844516154</v>
      </c>
      <c r="AU230" s="13">
        <f t="shared" si="48"/>
        <v>31833.556346036421</v>
      </c>
    </row>
    <row r="231" spans="1:47" x14ac:dyDescent="0.35">
      <c r="A231">
        <f t="shared" si="43"/>
        <v>208</v>
      </c>
      <c r="B231" s="13">
        <f t="shared" si="44"/>
        <v>39269.980457177793</v>
      </c>
      <c r="F231">
        <f t="shared" si="45"/>
        <v>208</v>
      </c>
      <c r="G231" s="13">
        <f t="shared" si="46"/>
        <v>31805.985013651127</v>
      </c>
      <c r="AQ231">
        <v>208</v>
      </c>
      <c r="AR231" s="14">
        <v>4.0115013649610383</v>
      </c>
      <c r="AS231" s="13">
        <f t="shared" si="47"/>
        <v>39269.980457177793</v>
      </c>
      <c r="AT231" s="9">
        <v>3.2490403817573297</v>
      </c>
      <c r="AU231" s="13">
        <f t="shared" si="48"/>
        <v>31805.985013651127</v>
      </c>
    </row>
    <row r="232" spans="1:47" x14ac:dyDescent="0.35">
      <c r="A232">
        <f t="shared" si="43"/>
        <v>209</v>
      </c>
      <c r="B232" s="13">
        <f t="shared" si="44"/>
        <v>39198.813476581359</v>
      </c>
      <c r="F232">
        <f t="shared" si="45"/>
        <v>209</v>
      </c>
      <c r="G232" s="13">
        <f t="shared" si="46"/>
        <v>31778.373886099202</v>
      </c>
      <c r="AQ232">
        <v>209</v>
      </c>
      <c r="AR232" s="14">
        <v>4.0042315258503702</v>
      </c>
      <c r="AS232" s="13">
        <f t="shared" si="47"/>
        <v>39198.813476581359</v>
      </c>
      <c r="AT232" s="9">
        <v>3.2462198538483986</v>
      </c>
      <c r="AU232" s="13">
        <f t="shared" si="48"/>
        <v>31778.373886099202</v>
      </c>
    </row>
    <row r="233" spans="1:47" x14ac:dyDescent="0.35">
      <c r="A233">
        <f t="shared" si="43"/>
        <v>210</v>
      </c>
      <c r="B233" s="13">
        <f t="shared" si="44"/>
        <v>39127.24013045289</v>
      </c>
      <c r="F233">
        <f t="shared" si="45"/>
        <v>210</v>
      </c>
      <c r="G233" s="13">
        <f t="shared" si="46"/>
        <v>31750.723096762616</v>
      </c>
      <c r="AQ233">
        <v>210</v>
      </c>
      <c r="AR233" s="14">
        <v>3.996920175746637</v>
      </c>
      <c r="AS233" s="13">
        <f t="shared" si="47"/>
        <v>39127.24013045289</v>
      </c>
      <c r="AT233" s="9">
        <v>3.243395274414576</v>
      </c>
      <c r="AU233" s="13">
        <f t="shared" si="48"/>
        <v>31750.723096762616</v>
      </c>
    </row>
    <row r="234" spans="1:47" x14ac:dyDescent="0.35">
      <c r="A234">
        <f t="shared" si="43"/>
        <v>211</v>
      </c>
      <c r="B234" s="13">
        <f t="shared" si="44"/>
        <v>39055.260050081823</v>
      </c>
      <c r="F234">
        <f t="shared" si="45"/>
        <v>211</v>
      </c>
      <c r="G234" s="13">
        <f t="shared" si="46"/>
        <v>31723.032777942801</v>
      </c>
      <c r="AQ234">
        <v>211</v>
      </c>
      <c r="AR234" s="14">
        <v>3.9895672769853707</v>
      </c>
      <c r="AS234" s="13">
        <f t="shared" si="47"/>
        <v>39055.260050081823</v>
      </c>
      <c r="AT234" s="9">
        <v>3.2405666569706986</v>
      </c>
      <c r="AU234" s="13">
        <f t="shared" si="48"/>
        <v>31723.032777942801</v>
      </c>
    </row>
    <row r="235" spans="1:47" x14ac:dyDescent="0.35">
      <c r="A235">
        <f t="shared" si="43"/>
        <v>212</v>
      </c>
      <c r="B235" s="13">
        <f t="shared" si="44"/>
        <v>38982.872868177103</v>
      </c>
      <c r="F235">
        <f t="shared" si="45"/>
        <v>212</v>
      </c>
      <c r="G235" s="13">
        <f t="shared" si="46"/>
        <v>31695.303060874485</v>
      </c>
      <c r="AQ235">
        <v>212</v>
      </c>
      <c r="AR235" s="14">
        <v>3.9821727920471082</v>
      </c>
      <c r="AS235" s="13">
        <f t="shared" si="47"/>
        <v>38982.872868177103</v>
      </c>
      <c r="AT235" s="9">
        <v>3.2377340149226375</v>
      </c>
      <c r="AU235" s="13">
        <f t="shared" si="48"/>
        <v>31695.303060874485</v>
      </c>
    </row>
    <row r="236" spans="1:47" x14ac:dyDescent="0.35">
      <c r="A236">
        <f t="shared" si="43"/>
        <v>213</v>
      </c>
      <c r="B236" s="13">
        <f t="shared" si="44"/>
        <v>38910.078218854913</v>
      </c>
      <c r="F236">
        <f t="shared" si="45"/>
        <v>213</v>
      </c>
      <c r="G236" s="13">
        <f t="shared" si="46"/>
        <v>31667.534075739259</v>
      </c>
      <c r="AQ236">
        <v>213</v>
      </c>
      <c r="AR236" s="14">
        <v>3.9747366835561393</v>
      </c>
      <c r="AS236" s="13">
        <f t="shared" si="47"/>
        <v>38910.078218854913</v>
      </c>
      <c r="AT236" s="9">
        <v>3.234897361568684</v>
      </c>
      <c r="AU236" s="13">
        <f t="shared" si="48"/>
        <v>31667.534075739259</v>
      </c>
    </row>
    <row r="237" spans="1:47" x14ac:dyDescent="0.35">
      <c r="A237">
        <f t="shared" si="43"/>
        <v>214</v>
      </c>
      <c r="B237" s="13">
        <f t="shared" si="44"/>
        <v>38836.875737626789</v>
      </c>
      <c r="F237">
        <f t="shared" si="45"/>
        <v>214</v>
      </c>
      <c r="G237" s="13">
        <f t="shared" si="46"/>
        <v>31639.725951679007</v>
      </c>
      <c r="AQ237">
        <v>214</v>
      </c>
      <c r="AR237" s="14">
        <v>3.9672589142792893</v>
      </c>
      <c r="AS237" s="13">
        <f t="shared" si="47"/>
        <v>38836.875737626789</v>
      </c>
      <c r="AT237" s="9">
        <v>3.2320567101009212</v>
      </c>
      <c r="AU237" s="13">
        <f t="shared" si="48"/>
        <v>31639.725951679007</v>
      </c>
    </row>
    <row r="238" spans="1:47" x14ac:dyDescent="0.35">
      <c r="A238">
        <f t="shared" si="43"/>
        <v>215</v>
      </c>
      <c r="B238" s="13">
        <f t="shared" si="44"/>
        <v>38763.265061387661</v>
      </c>
      <c r="F238">
        <f t="shared" si="45"/>
        <v>215</v>
      </c>
      <c r="G238" s="13">
        <f t="shared" si="46"/>
        <v>31611.878816808952</v>
      </c>
      <c r="AQ238">
        <v>215</v>
      </c>
      <c r="AR238" s="14">
        <v>3.9597394471247038</v>
      </c>
      <c r="AS238" s="13">
        <f t="shared" si="47"/>
        <v>38763.265061387661</v>
      </c>
      <c r="AT238" s="9">
        <v>3.2292120736065564</v>
      </c>
      <c r="AU238" s="13">
        <f t="shared" si="48"/>
        <v>31611.878816808952</v>
      </c>
    </row>
    <row r="239" spans="1:47" x14ac:dyDescent="0.35">
      <c r="A239">
        <f t="shared" si="43"/>
        <v>216</v>
      </c>
      <c r="B239" s="13">
        <f t="shared" si="44"/>
        <v>38689.245828404302</v>
      </c>
      <c r="F239">
        <f t="shared" si="45"/>
        <v>216</v>
      </c>
      <c r="G239" s="13">
        <f t="shared" si="46"/>
        <v>31583.992798230607</v>
      </c>
      <c r="AQ239">
        <v>216</v>
      </c>
      <c r="AR239" s="14">
        <v>3.952178245140662</v>
      </c>
      <c r="AS239" s="13">
        <f t="shared" si="47"/>
        <v>38689.245828404302</v>
      </c>
      <c r="AT239" s="9">
        <v>3.226363465069245</v>
      </c>
      <c r="AU239" s="13">
        <f t="shared" si="48"/>
        <v>31583.992798230607</v>
      </c>
    </row>
    <row r="240" spans="1:47" x14ac:dyDescent="0.35">
      <c r="A240">
        <f t="shared" si="43"/>
        <v>217</v>
      </c>
      <c r="B240" s="13">
        <f t="shared" si="44"/>
        <v>38614.817678303756</v>
      </c>
      <c r="F240">
        <f t="shared" si="45"/>
        <v>217</v>
      </c>
      <c r="G240" s="13">
        <f t="shared" si="46"/>
        <v>31556.068022044448</v>
      </c>
      <c r="AQ240">
        <v>217</v>
      </c>
      <c r="AR240" s="14">
        <v>3.9445752715143967</v>
      </c>
      <c r="AS240" s="13">
        <f t="shared" si="47"/>
        <v>38614.817678303756</v>
      </c>
      <c r="AT240" s="9">
        <v>3.2235108973703848</v>
      </c>
      <c r="AU240" s="13">
        <f t="shared" si="48"/>
        <v>31556.068022044448</v>
      </c>
    </row>
    <row r="241" spans="1:47" x14ac:dyDescent="0.35">
      <c r="A241">
        <f t="shared" si="43"/>
        <v>218</v>
      </c>
      <c r="B241" s="13">
        <f t="shared" si="44"/>
        <v>38539.980252061927</v>
      </c>
      <c r="F241">
        <f t="shared" si="45"/>
        <v>218</v>
      </c>
      <c r="G241" s="13">
        <f t="shared" si="46"/>
        <v>31528.10461336236</v>
      </c>
      <c r="AQ241">
        <v>218</v>
      </c>
      <c r="AR241" s="14">
        <v>3.9369304895709312</v>
      </c>
      <c r="AS241" s="13">
        <f t="shared" si="47"/>
        <v>38539.980252061927</v>
      </c>
      <c r="AT241" s="9">
        <v>3.2206543832903876</v>
      </c>
      <c r="AU241" s="13">
        <f t="shared" si="48"/>
        <v>31528.10461336236</v>
      </c>
    </row>
    <row r="242" spans="1:47" x14ac:dyDescent="0.35">
      <c r="A242">
        <f t="shared" si="43"/>
        <v>219</v>
      </c>
      <c r="B242" s="13">
        <f t="shared" si="44"/>
        <v>38464.733191992338</v>
      </c>
      <c r="F242">
        <f t="shared" si="45"/>
        <v>219</v>
      </c>
      <c r="G242" s="13">
        <f t="shared" si="46"/>
        <v>31500.102696319907</v>
      </c>
      <c r="AQ242">
        <v>219</v>
      </c>
      <c r="AR242" s="14">
        <v>3.9292438627719282</v>
      </c>
      <c r="AS242" s="13">
        <f t="shared" si="47"/>
        <v>38464.733191992338</v>
      </c>
      <c r="AT242" s="9">
        <v>3.2177939355099303</v>
      </c>
      <c r="AU242" s="13">
        <f t="shared" si="48"/>
        <v>31500.102696319907</v>
      </c>
    </row>
    <row r="243" spans="1:47" x14ac:dyDescent="0.35">
      <c r="A243">
        <f t="shared" si="43"/>
        <v>220</v>
      </c>
      <c r="B243" s="13">
        <f t="shared" si="44"/>
        <v>38389.076141735124</v>
      </c>
      <c r="F243">
        <f t="shared" si="45"/>
        <v>220</v>
      </c>
      <c r="G243" s="13">
        <f t="shared" si="46"/>
        <v>31472.062394088385</v>
      </c>
      <c r="AQ243">
        <v>220</v>
      </c>
      <c r="AR243" s="14">
        <v>3.9215153547145665</v>
      </c>
      <c r="AS243" s="13">
        <f t="shared" si="47"/>
        <v>38389.076141735124</v>
      </c>
      <c r="AT243" s="9">
        <v>3.2149295666111901</v>
      </c>
      <c r="AU243" s="13">
        <f t="shared" si="48"/>
        <v>31472.062394088385</v>
      </c>
    </row>
    <row r="244" spans="1:47" x14ac:dyDescent="0.35">
      <c r="A244">
        <f t="shared" si="43"/>
        <v>221</v>
      </c>
      <c r="B244" s="13">
        <f t="shared" si="44"/>
        <v>38313.008746246072</v>
      </c>
      <c r="F244">
        <f t="shared" si="45"/>
        <v>221</v>
      </c>
      <c r="G244" s="13">
        <f t="shared" si="46"/>
        <v>31443.983828886641</v>
      </c>
      <c r="AQ244">
        <v>221</v>
      </c>
      <c r="AR244" s="14">
        <v>3.9137449291304209</v>
      </c>
      <c r="AS244" s="13">
        <f t="shared" si="47"/>
        <v>38313.008746246072</v>
      </c>
      <c r="AT244" s="9">
        <v>3.212061289079049</v>
      </c>
      <c r="AU244" s="13">
        <f t="shared" si="48"/>
        <v>31443.983828886641</v>
      </c>
    </row>
    <row r="245" spans="1:47" x14ac:dyDescent="0.35">
      <c r="A245">
        <f t="shared" si="43"/>
        <v>222</v>
      </c>
      <c r="B245" s="13">
        <f t="shared" si="44"/>
        <v>38236.530651785717</v>
      </c>
      <c r="F245">
        <f t="shared" si="45"/>
        <v>222</v>
      </c>
      <c r="G245" s="13">
        <f t="shared" si="46"/>
        <v>31415.867121992716</v>
      </c>
      <c r="AQ245">
        <v>222</v>
      </c>
      <c r="AR245" s="14">
        <v>3.9059325498843478</v>
      </c>
      <c r="AS245" s="13">
        <f t="shared" si="47"/>
        <v>38236.530651785717</v>
      </c>
      <c r="AT245" s="9">
        <v>3.209189115302284</v>
      </c>
      <c r="AU245" s="13">
        <f t="shared" si="48"/>
        <v>31415.867121992716</v>
      </c>
    </row>
    <row r="246" spans="1:47" x14ac:dyDescent="0.35">
      <c r="A246">
        <f t="shared" si="43"/>
        <v>223</v>
      </c>
      <c r="B246" s="13">
        <f t="shared" si="44"/>
        <v>38159.641505908774</v>
      </c>
      <c r="F246">
        <f t="shared" si="45"/>
        <v>223</v>
      </c>
      <c r="G246" s="13">
        <f t="shared" si="46"/>
        <v>31387.712393755333</v>
      </c>
      <c r="AQ246">
        <v>223</v>
      </c>
      <c r="AR246" s="14">
        <v>3.8980781809734086</v>
      </c>
      <c r="AS246" s="13">
        <f t="shared" si="47"/>
        <v>38159.641505908774</v>
      </c>
      <c r="AT246" s="9">
        <v>3.2063130575747403</v>
      </c>
      <c r="AU246" s="13">
        <f t="shared" si="48"/>
        <v>31387.712393755333</v>
      </c>
    </row>
    <row r="247" spans="1:47" x14ac:dyDescent="0.35">
      <c r="A247">
        <f t="shared" si="43"/>
        <v>224</v>
      </c>
      <c r="B247" s="13">
        <f t="shared" si="44"/>
        <v>38082.340957453598</v>
      </c>
      <c r="F247">
        <f t="shared" si="45"/>
        <v>224</v>
      </c>
      <c r="G247" s="13">
        <f t="shared" si="46"/>
        <v>31359.519763605123</v>
      </c>
      <c r="AQ247">
        <v>224</v>
      </c>
      <c r="AR247" s="14">
        <v>3.8901817865257899</v>
      </c>
      <c r="AS247" s="13">
        <f t="shared" si="47"/>
        <v>38082.340957453598</v>
      </c>
      <c r="AT247" s="9">
        <v>3.2034331280964778</v>
      </c>
      <c r="AU247" s="13">
        <f t="shared" si="48"/>
        <v>31359.519763605123</v>
      </c>
    </row>
    <row r="248" spans="1:47" x14ac:dyDescent="0.35">
      <c r="A248">
        <f t="shared" si="43"/>
        <v>225</v>
      </c>
      <c r="B248" s="13">
        <f t="shared" si="44"/>
        <v>38004.628656531742</v>
      </c>
      <c r="F248">
        <f t="shared" si="45"/>
        <v>225</v>
      </c>
      <c r="G248" s="13">
        <f t="shared" si="46"/>
        <v>31331.289350065697</v>
      </c>
      <c r="AQ248">
        <v>225</v>
      </c>
      <c r="AR248" s="14">
        <v>3.8822433307997368</v>
      </c>
      <c r="AS248" s="13">
        <f t="shared" si="47"/>
        <v>38004.628656531742</v>
      </c>
      <c r="AT248" s="9">
        <v>3.2005493389749038</v>
      </c>
      <c r="AU248" s="13">
        <f t="shared" si="48"/>
        <v>31331.289350065697</v>
      </c>
    </row>
    <row r="249" spans="1:47" x14ac:dyDescent="0.35">
      <c r="A249">
        <f t="shared" si="43"/>
        <v>226</v>
      </c>
      <c r="B249" s="13">
        <f t="shared" si="44"/>
        <v>37926.504254517713</v>
      </c>
      <c r="F249">
        <f t="shared" si="45"/>
        <v>226</v>
      </c>
      <c r="G249" s="13">
        <f t="shared" si="46"/>
        <v>31303.021270764548</v>
      </c>
      <c r="AQ249">
        <v>226</v>
      </c>
      <c r="AR249" s="14">
        <v>3.8742627781825076</v>
      </c>
      <c r="AS249" s="13">
        <f t="shared" si="47"/>
        <v>37926.504254517713</v>
      </c>
      <c r="AT249" s="9">
        <v>3.1976617022258855</v>
      </c>
      <c r="AU249" s="13">
        <f t="shared" si="48"/>
        <v>31303.021270764548</v>
      </c>
    </row>
    <row r="250" spans="1:47" x14ac:dyDescent="0.35">
      <c r="A250">
        <f t="shared" si="43"/>
        <v>227</v>
      </c>
      <c r="B250" s="13">
        <f t="shared" si="44"/>
        <v>37847.967404038856</v>
      </c>
      <c r="F250">
        <f t="shared" si="45"/>
        <v>227</v>
      </c>
      <c r="G250" s="13">
        <f t="shared" si="46"/>
        <v>31274.715642443782</v>
      </c>
      <c r="AQ250">
        <v>227</v>
      </c>
      <c r="AR250" s="14">
        <v>3.8662400931893428</v>
      </c>
      <c r="AS250" s="13">
        <f t="shared" si="47"/>
        <v>37847.967404038856</v>
      </c>
      <c r="AT250" s="9">
        <v>3.1947702297748446</v>
      </c>
      <c r="AU250" s="13">
        <f t="shared" si="48"/>
        <v>31274.715642443782</v>
      </c>
    </row>
    <row r="251" spans="1:47" x14ac:dyDescent="0.35">
      <c r="A251">
        <f t="shared" si="43"/>
        <v>228</v>
      </c>
      <c r="B251" s="13">
        <f t="shared" si="44"/>
        <v>37769.017758965245</v>
      </c>
      <c r="F251">
        <f t="shared" si="45"/>
        <v>228</v>
      </c>
      <c r="G251" s="13">
        <f t="shared" si="46"/>
        <v>31246.372580970623</v>
      </c>
      <c r="AQ251">
        <v>228</v>
      </c>
      <c r="AR251" s="14">
        <v>3.8581752404624279</v>
      </c>
      <c r="AS251" s="13">
        <f t="shared" si="47"/>
        <v>37769.017758965245</v>
      </c>
      <c r="AT251" s="9">
        <v>3.191874933457834</v>
      </c>
      <c r="AU251" s="13">
        <f t="shared" si="48"/>
        <v>31246.372580970623</v>
      </c>
    </row>
    <row r="252" spans="1:47" x14ac:dyDescent="0.35">
      <c r="A252">
        <f t="shared" si="43"/>
        <v>229</v>
      </c>
      <c r="B252" s="13">
        <f t="shared" si="44"/>
        <v>37689.65497439992</v>
      </c>
      <c r="F252">
        <f t="shared" si="45"/>
        <v>229</v>
      </c>
      <c r="G252" s="13">
        <f t="shared" si="46"/>
        <v>31217.992201347788</v>
      </c>
      <c r="AQ252">
        <v>229</v>
      </c>
      <c r="AR252" s="14">
        <v>3.8500681847698979</v>
      </c>
      <c r="AS252" s="13">
        <f t="shared" si="47"/>
        <v>37689.65497439992</v>
      </c>
      <c r="AT252" s="9">
        <v>3.1889758250225939</v>
      </c>
      <c r="AU252" s="13">
        <f t="shared" si="48"/>
        <v>31217.992201347788</v>
      </c>
    </row>
    <row r="253" spans="1:47" x14ac:dyDescent="0.35">
      <c r="A253">
        <f t="shared" si="43"/>
        <v>230</v>
      </c>
      <c r="B253" s="13">
        <f t="shared" si="44"/>
        <v>37609.878706669013</v>
      </c>
      <c r="F253">
        <f t="shared" si="45"/>
        <v>230</v>
      </c>
      <c r="G253" s="13">
        <f t="shared" si="46"/>
        <v>31189.57461772372</v>
      </c>
      <c r="AQ253">
        <v>230</v>
      </c>
      <c r="AR253" s="14">
        <v>3.8419188910048296</v>
      </c>
      <c r="AS253" s="13">
        <f t="shared" si="47"/>
        <v>37609.878706669013</v>
      </c>
      <c r="AT253" s="9">
        <v>3.1860729161296</v>
      </c>
      <c r="AU253" s="13">
        <f t="shared" si="48"/>
        <v>31189.57461772372</v>
      </c>
    </row>
    <row r="254" spans="1:47" x14ac:dyDescent="0.35">
      <c r="A254">
        <f t="shared" si="43"/>
        <v>231</v>
      </c>
      <c r="B254" s="13">
        <f t="shared" si="44"/>
        <v>37529.688613312144</v>
      </c>
      <c r="F254">
        <f t="shared" si="45"/>
        <v>231</v>
      </c>
      <c r="G254" s="13">
        <f t="shared" si="46"/>
        <v>31161.119943402573</v>
      </c>
      <c r="AQ254">
        <v>231</v>
      </c>
      <c r="AR254" s="14">
        <v>3.83372732418426</v>
      </c>
      <c r="AS254" s="13">
        <f t="shared" si="47"/>
        <v>37529.688613312144</v>
      </c>
      <c r="AT254" s="9">
        <v>3.1831662183530813</v>
      </c>
      <c r="AU254" s="13">
        <f t="shared" si="48"/>
        <v>31161.119943402573</v>
      </c>
    </row>
    <row r="255" spans="1:47" x14ac:dyDescent="0.35">
      <c r="A255">
        <f t="shared" si="43"/>
        <v>232</v>
      </c>
      <c r="B255" s="13">
        <f t="shared" si="44"/>
        <v>37449.084353072889</v>
      </c>
      <c r="F255">
        <f t="shared" si="45"/>
        <v>232</v>
      </c>
      <c r="G255" s="13">
        <f t="shared" si="46"/>
        <v>31132.628290854114</v>
      </c>
      <c r="AQ255">
        <v>232</v>
      </c>
      <c r="AR255" s="14">
        <v>3.8254934494482122</v>
      </c>
      <c r="AS255" s="13">
        <f t="shared" si="47"/>
        <v>37449.084353072889</v>
      </c>
      <c r="AT255" s="9">
        <v>3.180255743182034</v>
      </c>
      <c r="AU255" s="13">
        <f t="shared" si="48"/>
        <v>31132.628290854114</v>
      </c>
    </row>
    <row r="256" spans="1:47" x14ac:dyDescent="0.35">
      <c r="A256">
        <f t="shared" si="43"/>
        <v>233</v>
      </c>
      <c r="B256" s="13">
        <f t="shared" si="44"/>
        <v>37368.065585889359</v>
      </c>
      <c r="F256">
        <f t="shared" si="45"/>
        <v>233</v>
      </c>
      <c r="G256" s="13">
        <f t="shared" si="46"/>
        <v>31104.099771723453</v>
      </c>
      <c r="AQ256">
        <v>233</v>
      </c>
      <c r="AR256" s="14">
        <v>3.817217232058733</v>
      </c>
      <c r="AS256" s="13">
        <f t="shared" si="47"/>
        <v>37368.065585889359</v>
      </c>
      <c r="AT256" s="9">
        <v>3.1773415020212123</v>
      </c>
      <c r="AU256" s="13">
        <f t="shared" si="48"/>
        <v>31104.099771723453</v>
      </c>
    </row>
    <row r="257" spans="1:47" x14ac:dyDescent="0.35">
      <c r="A257">
        <f t="shared" si="43"/>
        <v>234</v>
      </c>
      <c r="B257" s="13">
        <f t="shared" si="44"/>
        <v>37286.631972884839</v>
      </c>
      <c r="F257">
        <f t="shared" si="45"/>
        <v>234</v>
      </c>
      <c r="G257" s="13">
        <f t="shared" si="46"/>
        <v>31075.53449684057</v>
      </c>
      <c r="AQ257">
        <v>234</v>
      </c>
      <c r="AR257" s="14">
        <v>3.8088986373989382</v>
      </c>
      <c r="AS257" s="13">
        <f t="shared" si="47"/>
        <v>37286.631972884839</v>
      </c>
      <c r="AT257" s="9">
        <v>3.1744235061921047</v>
      </c>
      <c r="AU257" s="13">
        <f t="shared" si="48"/>
        <v>31075.53449684057</v>
      </c>
    </row>
    <row r="258" spans="1:47" x14ac:dyDescent="0.35">
      <c r="A258">
        <f t="shared" si="43"/>
        <v>235</v>
      </c>
      <c r="B258" s="13">
        <f t="shared" si="44"/>
        <v>37204.783176358746</v>
      </c>
      <c r="F258">
        <f t="shared" si="45"/>
        <v>235</v>
      </c>
      <c r="G258" s="13">
        <f t="shared" si="46"/>
        <v>31046.932576229752</v>
      </c>
      <c r="AQ258">
        <v>235</v>
      </c>
      <c r="AR258" s="14">
        <v>3.8005376309720855</v>
      </c>
      <c r="AS258" s="13">
        <f t="shared" si="47"/>
        <v>37204.783176358746</v>
      </c>
      <c r="AT258" s="9">
        <v>3.171501766933897</v>
      </c>
      <c r="AU258" s="13">
        <f t="shared" si="48"/>
        <v>31046.932576229752</v>
      </c>
    </row>
    <row r="259" spans="1:47" x14ac:dyDescent="0.35">
      <c r="A259">
        <f t="shared" si="43"/>
        <v>236</v>
      </c>
      <c r="B259" s="13">
        <f t="shared" si="44"/>
        <v>37122.518859777352</v>
      </c>
      <c r="F259">
        <f t="shared" si="45"/>
        <v>236</v>
      </c>
      <c r="G259" s="13">
        <f t="shared" si="46"/>
        <v>31018.294119118862</v>
      </c>
      <c r="AQ259">
        <v>236</v>
      </c>
      <c r="AR259" s="14">
        <v>3.7921341784006306</v>
      </c>
      <c r="AS259" s="13">
        <f t="shared" si="47"/>
        <v>37122.518859777352</v>
      </c>
      <c r="AT259" s="9">
        <v>3.1685762954044168</v>
      </c>
      <c r="AU259" s="13">
        <f t="shared" si="48"/>
        <v>31018.294119118862</v>
      </c>
    </row>
    <row r="260" spans="1:47" x14ac:dyDescent="0.35">
      <c r="A260">
        <f t="shared" si="43"/>
        <v>237</v>
      </c>
      <c r="B260" s="13">
        <f t="shared" si="44"/>
        <v>37039.838687764975</v>
      </c>
      <c r="F260">
        <f t="shared" si="45"/>
        <v>237</v>
      </c>
      <c r="G260" s="13">
        <f t="shared" si="46"/>
        <v>30989.619233948441</v>
      </c>
      <c r="AQ260">
        <v>237</v>
      </c>
      <c r="AR260" s="14">
        <v>3.783688245425326</v>
      </c>
      <c r="AS260" s="13">
        <f t="shared" si="47"/>
        <v>37039.838687764975</v>
      </c>
      <c r="AT260" s="9">
        <v>3.1656471026810671</v>
      </c>
      <c r="AU260" s="13">
        <f t="shared" si="48"/>
        <v>30989.619233948441</v>
      </c>
    </row>
    <row r="261" spans="1:47" x14ac:dyDescent="0.35">
      <c r="A261">
        <f t="shared" si="43"/>
        <v>238</v>
      </c>
      <c r="B261" s="13">
        <f t="shared" si="44"/>
        <v>36956.742326095038</v>
      </c>
      <c r="F261">
        <f t="shared" si="45"/>
        <v>238</v>
      </c>
      <c r="G261" s="13">
        <f t="shared" si="46"/>
        <v>30960.908028380662</v>
      </c>
      <c r="AQ261">
        <v>238</v>
      </c>
      <c r="AR261" s="14">
        <v>3.7751997979043046</v>
      </c>
      <c r="AS261" s="13">
        <f t="shared" si="47"/>
        <v>36956.742326095038</v>
      </c>
      <c r="AT261" s="9">
        <v>3.162714199761739</v>
      </c>
      <c r="AU261" s="13">
        <f t="shared" si="48"/>
        <v>30960.908028380662</v>
      </c>
    </row>
    <row r="262" spans="1:47" x14ac:dyDescent="0.35">
      <c r="A262">
        <f t="shared" si="43"/>
        <v>239</v>
      </c>
      <c r="B262" s="13">
        <f t="shared" si="44"/>
        <v>36873.229441681287</v>
      </c>
      <c r="F262">
        <f t="shared" si="45"/>
        <v>239</v>
      </c>
      <c r="G262" s="13">
        <f t="shared" si="46"/>
        <v>30932.160609308219</v>
      </c>
      <c r="AQ262">
        <v>239</v>
      </c>
      <c r="AR262" s="14">
        <v>3.7666688018121905</v>
      </c>
      <c r="AS262" s="13">
        <f t="shared" si="47"/>
        <v>36873.229441681287</v>
      </c>
      <c r="AT262" s="9">
        <v>3.1597775975657187</v>
      </c>
      <c r="AU262" s="13">
        <f t="shared" si="48"/>
        <v>30932.160609308219</v>
      </c>
    </row>
    <row r="263" spans="1:47" x14ac:dyDescent="0.35">
      <c r="A263">
        <f t="shared" si="43"/>
        <v>240</v>
      </c>
      <c r="B263" s="13">
        <f t="shared" si="44"/>
        <v>36789.299702569209</v>
      </c>
      <c r="F263">
        <f t="shared" si="45"/>
        <v>240</v>
      </c>
      <c r="G263" s="13">
        <f t="shared" si="46"/>
        <v>30903.377082862982</v>
      </c>
      <c r="AQ263">
        <v>240</v>
      </c>
      <c r="AR263" s="14">
        <v>3.7580952232392124</v>
      </c>
      <c r="AS263" s="13">
        <f t="shared" si="47"/>
        <v>36789.299702569209</v>
      </c>
      <c r="AT263" s="9">
        <v>3.1568373069345745</v>
      </c>
      <c r="AU263" s="13">
        <f t="shared" si="48"/>
        <v>30903.377082862982</v>
      </c>
    </row>
    <row r="264" spans="1:47" x14ac:dyDescent="0.35">
      <c r="A264">
        <f t="shared" si="43"/>
        <v>241</v>
      </c>
      <c r="B264" s="13">
        <f t="shared" si="44"/>
        <v>36704.952777927407</v>
      </c>
      <c r="F264">
        <f t="shared" si="45"/>
        <v>241</v>
      </c>
      <c r="G264" s="13">
        <f t="shared" si="46"/>
        <v>30874.557554424584</v>
      </c>
      <c r="AQ264">
        <v>241</v>
      </c>
      <c r="AR264" s="14">
        <v>3.7494790283903301</v>
      </c>
      <c r="AS264" s="13">
        <f t="shared" si="47"/>
        <v>36704.952777927407</v>
      </c>
      <c r="AT264" s="9">
        <v>3.153893338633031</v>
      </c>
      <c r="AU264" s="13">
        <f t="shared" si="48"/>
        <v>30874.557554424584</v>
      </c>
    </row>
    <row r="265" spans="1:47" x14ac:dyDescent="0.35">
      <c r="A265">
        <f t="shared" si="43"/>
        <v>242</v>
      </c>
      <c r="B265" s="13">
        <f t="shared" si="44"/>
        <v>36620.188338039115</v>
      </c>
      <c r="F265">
        <f t="shared" si="45"/>
        <v>242</v>
      </c>
      <c r="G265" s="13">
        <f t="shared" si="46"/>
        <v>30845.70212862884</v>
      </c>
      <c r="AQ265">
        <v>242</v>
      </c>
      <c r="AR265" s="14">
        <v>3.740820183584364</v>
      </c>
      <c r="AS265" s="13">
        <f t="shared" si="47"/>
        <v>36620.188338039115</v>
      </c>
      <c r="AT265" s="9">
        <v>3.1509457033498305</v>
      </c>
      <c r="AU265" s="13">
        <f t="shared" si="48"/>
        <v>30845.70212862884</v>
      </c>
    </row>
    <row r="266" spans="1:47" x14ac:dyDescent="0.35">
      <c r="A266">
        <f t="shared" si="43"/>
        <v>243</v>
      </c>
      <c r="B266" s="13">
        <f t="shared" si="44"/>
        <v>36535.006054294048</v>
      </c>
      <c r="F266">
        <f t="shared" si="45"/>
        <v>243</v>
      </c>
      <c r="G266" s="13">
        <f t="shared" si="46"/>
        <v>30816.810909376072</v>
      </c>
      <c r="AQ266">
        <v>243</v>
      </c>
      <c r="AR266" s="14">
        <v>3.7321186552531631</v>
      </c>
      <c r="AS266" s="13">
        <f t="shared" si="47"/>
        <v>36535.006054294048</v>
      </c>
      <c r="AT266" s="9">
        <v>3.1479944116985847</v>
      </c>
      <c r="AU266" s="13">
        <f t="shared" si="48"/>
        <v>30816.810909376072</v>
      </c>
    </row>
    <row r="267" spans="1:47" x14ac:dyDescent="0.35">
      <c r="A267">
        <f t="shared" si="43"/>
        <v>244</v>
      </c>
      <c r="B267" s="13">
        <f t="shared" si="44"/>
        <v>36449.405599179801</v>
      </c>
      <c r="F267">
        <f t="shared" si="45"/>
        <v>244</v>
      </c>
      <c r="G267" s="13">
        <f t="shared" si="46"/>
        <v>30787.883999839247</v>
      </c>
      <c r="AQ267">
        <v>244</v>
      </c>
      <c r="AR267" s="14">
        <v>3.7233744099407282</v>
      </c>
      <c r="AS267" s="13">
        <f t="shared" si="47"/>
        <v>36449.405599179801</v>
      </c>
      <c r="AT267" s="9">
        <v>3.1450394742186027</v>
      </c>
      <c r="AU267" s="13">
        <f t="shared" si="48"/>
        <v>30787.883999839247</v>
      </c>
    </row>
    <row r="268" spans="1:47" x14ac:dyDescent="0.35">
      <c r="A268">
        <f t="shared" si="43"/>
        <v>245</v>
      </c>
      <c r="B268" s="13">
        <f t="shared" si="44"/>
        <v>36363.38664627399</v>
      </c>
      <c r="F268">
        <f t="shared" si="45"/>
        <v>245</v>
      </c>
      <c r="G268" s="13">
        <f t="shared" si="46"/>
        <v>30758.921502472076</v>
      </c>
      <c r="AQ268">
        <v>245</v>
      </c>
      <c r="AR268" s="14">
        <v>3.7145874143024065</v>
      </c>
      <c r="AS268" s="13">
        <f t="shared" si="47"/>
        <v>36363.38664627399</v>
      </c>
      <c r="AT268" s="9">
        <v>3.1420809013757216</v>
      </c>
      <c r="AU268" s="13">
        <f t="shared" si="48"/>
        <v>30758.921502472076</v>
      </c>
    </row>
    <row r="269" spans="1:47" x14ac:dyDescent="0.35">
      <c r="A269">
        <f t="shared" si="43"/>
        <v>246</v>
      </c>
      <c r="B269" s="13">
        <f t="shared" si="44"/>
        <v>36276.948870236032</v>
      </c>
      <c r="F269">
        <f t="shared" si="45"/>
        <v>246</v>
      </c>
      <c r="G269" s="13">
        <f t="shared" si="46"/>
        <v>30729.923519016938</v>
      </c>
      <c r="AQ269">
        <v>246</v>
      </c>
      <c r="AR269" s="14">
        <v>3.7057576351040549</v>
      </c>
      <c r="AS269" s="13">
        <f t="shared" si="47"/>
        <v>36276.948870236032</v>
      </c>
      <c r="AT269" s="9">
        <v>3.1391187035631134</v>
      </c>
      <c r="AU269" s="13">
        <f t="shared" si="48"/>
        <v>30729.923519016938</v>
      </c>
    </row>
    <row r="270" spans="1:47" x14ac:dyDescent="0.35">
      <c r="A270">
        <f t="shared" si="43"/>
        <v>247</v>
      </c>
      <c r="B270" s="13">
        <f t="shared" si="44"/>
        <v>36190.09194679917</v>
      </c>
      <c r="F270">
        <f t="shared" si="45"/>
        <v>247</v>
      </c>
      <c r="G270" s="13">
        <f t="shared" si="46"/>
        <v>30700.890150512623</v>
      </c>
      <c r="AQ270">
        <v>247</v>
      </c>
      <c r="AR270" s="14">
        <v>3.6968850392212222</v>
      </c>
      <c r="AS270" s="13">
        <f t="shared" si="47"/>
        <v>36190.09194679917</v>
      </c>
      <c r="AT270" s="9">
        <v>3.1361528911020793</v>
      </c>
      <c r="AU270" s="13">
        <f t="shared" si="48"/>
        <v>30700.890150512623</v>
      </c>
    </row>
    <row r="271" spans="1:47" x14ac:dyDescent="0.35">
      <c r="A271">
        <f t="shared" si="43"/>
        <v>248</v>
      </c>
      <c r="B271" s="13">
        <f t="shared" si="44"/>
        <v>36102.81555276263</v>
      </c>
      <c r="F271">
        <f t="shared" si="45"/>
        <v>248</v>
      </c>
      <c r="G271" s="13">
        <f t="shared" si="46"/>
        <v>30671.82149730215</v>
      </c>
      <c r="AQ271">
        <v>248</v>
      </c>
      <c r="AR271" s="14">
        <v>3.687969593638349</v>
      </c>
      <c r="AS271" s="13">
        <f t="shared" si="47"/>
        <v>36102.81555276263</v>
      </c>
      <c r="AT271" s="9">
        <v>3.1331834742428435</v>
      </c>
      <c r="AU271" s="13">
        <f t="shared" si="48"/>
        <v>30671.82149730215</v>
      </c>
    </row>
    <row r="272" spans="1:47" x14ac:dyDescent="0.35">
      <c r="A272">
        <f t="shared" si="43"/>
        <v>249</v>
      </c>
      <c r="B272" s="13">
        <f t="shared" si="44"/>
        <v>36015.11936598381</v>
      </c>
      <c r="F272">
        <f t="shared" si="45"/>
        <v>249</v>
      </c>
      <c r="G272" s="13">
        <f t="shared" si="46"/>
        <v>30642.717659040245</v>
      </c>
      <c r="AQ272">
        <v>249</v>
      </c>
      <c r="AR272" s="14">
        <v>3.6790112654479712</v>
      </c>
      <c r="AS272" s="13">
        <f t="shared" si="47"/>
        <v>36015.11936598381</v>
      </c>
      <c r="AT272" s="9">
        <v>3.130210463165322</v>
      </c>
      <c r="AU272" s="13">
        <f t="shared" si="48"/>
        <v>30642.717659040245</v>
      </c>
    </row>
    <row r="273" spans="1:47" x14ac:dyDescent="0.35">
      <c r="A273">
        <f t="shared" si="43"/>
        <v>250</v>
      </c>
      <c r="B273" s="13">
        <f t="shared" si="44"/>
        <v>35927.003065370525</v>
      </c>
      <c r="F273">
        <f t="shared" si="45"/>
        <v>250</v>
      </c>
      <c r="G273" s="13">
        <f t="shared" si="46"/>
        <v>30613.578734700837</v>
      </c>
      <c r="AQ273">
        <v>250</v>
      </c>
      <c r="AR273" s="14">
        <v>3.6700100218499263</v>
      </c>
      <c r="AS273" s="13">
        <f t="shared" si="47"/>
        <v>35927.003065370525</v>
      </c>
      <c r="AT273" s="9">
        <v>3.1272338679798857</v>
      </c>
      <c r="AU273" s="13">
        <f t="shared" si="48"/>
        <v>30613.578734700837</v>
      </c>
    </row>
    <row r="274" spans="1:47" x14ac:dyDescent="0.35">
      <c r="A274">
        <f t="shared" si="43"/>
        <v>251</v>
      </c>
      <c r="B274" s="13">
        <f t="shared" si="44"/>
        <v>35838.466330873438</v>
      </c>
      <c r="F274">
        <f t="shared" si="45"/>
        <v>251</v>
      </c>
      <c r="G274" s="13">
        <f t="shared" si="46"/>
        <v>30584.404822584456</v>
      </c>
      <c r="AQ274">
        <v>251</v>
      </c>
      <c r="AR274" s="14">
        <v>3.6609658301505816</v>
      </c>
      <c r="AS274" s="13">
        <f t="shared" si="47"/>
        <v>35838.466330873438</v>
      </c>
      <c r="AT274" s="9">
        <v>3.1242536987281149</v>
      </c>
      <c r="AU274" s="13">
        <f t="shared" si="48"/>
        <v>30584.404822584456</v>
      </c>
    </row>
    <row r="275" spans="1:47" x14ac:dyDescent="0.35">
      <c r="A275">
        <f t="shared" si="43"/>
        <v>252</v>
      </c>
      <c r="B275" s="13">
        <f t="shared" si="44"/>
        <v>35749.508843478514</v>
      </c>
      <c r="F275">
        <f t="shared" si="45"/>
        <v>252</v>
      </c>
      <c r="G275" s="13">
        <f t="shared" si="46"/>
        <v>30555.19602032542</v>
      </c>
      <c r="AQ275">
        <v>252</v>
      </c>
      <c r="AR275" s="14">
        <v>3.6518786577620603</v>
      </c>
      <c r="AS275" s="13">
        <f t="shared" si="47"/>
        <v>35749.508843478514</v>
      </c>
      <c r="AT275" s="9">
        <v>3.121269965383537</v>
      </c>
      <c r="AU275" s="13">
        <f t="shared" si="48"/>
        <v>30555.19602032542</v>
      </c>
    </row>
    <row r="276" spans="1:47" x14ac:dyDescent="0.35">
      <c r="A276">
        <f t="shared" si="43"/>
        <v>253</v>
      </c>
      <c r="B276" s="13">
        <f t="shared" si="44"/>
        <v>35660.130285199542</v>
      </c>
      <c r="F276">
        <f t="shared" si="45"/>
        <v>253</v>
      </c>
      <c r="G276" s="13">
        <f t="shared" si="46"/>
        <v>30525.952424899013</v>
      </c>
      <c r="AQ276">
        <v>253</v>
      </c>
      <c r="AR276" s="14">
        <v>3.6427484722014807</v>
      </c>
      <c r="AS276" s="13">
        <f t="shared" si="47"/>
        <v>35660.130285199542</v>
      </c>
      <c r="AT276" s="9">
        <v>3.1182826778523571</v>
      </c>
      <c r="AU276" s="13">
        <f t="shared" si="48"/>
        <v>30525.952424899013</v>
      </c>
    </row>
    <row r="277" spans="1:47" x14ac:dyDescent="0.35">
      <c r="A277">
        <f t="shared" si="43"/>
        <v>254</v>
      </c>
      <c r="B277" s="13">
        <f t="shared" si="44"/>
        <v>35570.330339070759</v>
      </c>
      <c r="F277">
        <f t="shared" si="45"/>
        <v>254</v>
      </c>
      <c r="G277" s="13">
        <f t="shared" si="46"/>
        <v>30496.674132628523</v>
      </c>
      <c r="AQ277">
        <v>254</v>
      </c>
      <c r="AR277" s="14">
        <v>3.6335752410902034</v>
      </c>
      <c r="AS277" s="13">
        <f t="shared" si="47"/>
        <v>35570.330339070759</v>
      </c>
      <c r="AT277" s="9">
        <v>3.1152918459741779</v>
      </c>
      <c r="AU277" s="13">
        <f t="shared" si="48"/>
        <v>30496.674132628523</v>
      </c>
    </row>
    <row r="278" spans="1:47" x14ac:dyDescent="0.35">
      <c r="A278">
        <f t="shared" si="43"/>
        <v>255</v>
      </c>
      <c r="B278" s="13">
        <f t="shared" si="44"/>
        <v>35480.108689139655</v>
      </c>
      <c r="F278">
        <f t="shared" si="45"/>
        <v>255</v>
      </c>
      <c r="G278" s="13">
        <f t="shared" si="46"/>
        <v>30467.361239192149</v>
      </c>
      <c r="AQ278">
        <v>255</v>
      </c>
      <c r="AR278" s="14">
        <v>3.6243589321530925</v>
      </c>
      <c r="AS278" s="13">
        <f t="shared" si="47"/>
        <v>35480.108689139655</v>
      </c>
      <c r="AT278" s="9">
        <v>3.112297479522705</v>
      </c>
      <c r="AU278" s="13">
        <f t="shared" si="48"/>
        <v>30467.361239192149</v>
      </c>
    </row>
    <row r="279" spans="1:47" x14ac:dyDescent="0.35">
      <c r="A279">
        <f t="shared" si="43"/>
        <v>256</v>
      </c>
      <c r="B279" s="13">
        <f t="shared" si="44"/>
        <v>35389.46502045956</v>
      </c>
      <c r="F279">
        <f t="shared" si="45"/>
        <v>256</v>
      </c>
      <c r="G279" s="13">
        <f t="shared" si="46"/>
        <v>30438.013839629875</v>
      </c>
      <c r="AQ279">
        <v>256</v>
      </c>
      <c r="AR279" s="14">
        <v>3.6150995132177615</v>
      </c>
      <c r="AS279" s="13">
        <f t="shared" si="47"/>
        <v>35389.46502045956</v>
      </c>
      <c r="AT279" s="9">
        <v>3.1092995882064489</v>
      </c>
      <c r="AU279" s="13">
        <f t="shared" si="48"/>
        <v>30438.013839629875</v>
      </c>
    </row>
    <row r="280" spans="1:47" x14ac:dyDescent="0.35">
      <c r="A280">
        <f t="shared" ref="A280:A343" si="52">AQ280*B$16*B$17</f>
        <v>257</v>
      </c>
      <c r="B280" s="13">
        <f t="shared" ref="B280:B343" si="53">IF(B$14="DDC-1T+",AS280*B$15*B$17^2,AU280*B$15*B$17^2)</f>
        <v>35298.399019082761</v>
      </c>
      <c r="F280">
        <f t="shared" ref="F280:F343" si="54">AQ280*G$16*G$17</f>
        <v>257</v>
      </c>
      <c r="G280" s="13">
        <f t="shared" ref="G280:G343" si="55">IF(G$14="DDC-1T+",AS280*G$15*G$17^2,AU280*G$15*G$17^2)</f>
        <v>30408.632028350163</v>
      </c>
      <c r="AQ280">
        <v>257</v>
      </c>
      <c r="AR280" s="14">
        <v>3.6057969522138684</v>
      </c>
      <c r="AS280" s="13">
        <f t="shared" ref="AS280:AS343" si="56">AR280*998.2*9.807</f>
        <v>35298.399019082761</v>
      </c>
      <c r="AT280" s="9">
        <v>3.1062981816694095</v>
      </c>
      <c r="AU280" s="13">
        <f t="shared" ref="AU280:AU343" si="57">AT280*998.2*9.807</f>
        <v>30408.632028350163</v>
      </c>
    </row>
    <row r="281" spans="1:47" x14ac:dyDescent="0.35">
      <c r="A281">
        <f t="shared" si="52"/>
        <v>258</v>
      </c>
      <c r="B281" s="13">
        <f t="shared" si="53"/>
        <v>35206.910372053288</v>
      </c>
      <c r="F281">
        <f t="shared" si="54"/>
        <v>258</v>
      </c>
      <c r="G281" s="13">
        <f t="shared" si="55"/>
        <v>30379.21589913666</v>
      </c>
      <c r="AQ281">
        <v>258</v>
      </c>
      <c r="AR281" s="14">
        <v>3.5964512171723815</v>
      </c>
      <c r="AS281" s="13">
        <f t="shared" si="56"/>
        <v>35206.910372053288</v>
      </c>
      <c r="AT281" s="9">
        <v>3.1032932694917594</v>
      </c>
      <c r="AU281" s="13">
        <f t="shared" si="57"/>
        <v>30379.21589913666</v>
      </c>
    </row>
    <row r="282" spans="1:47" x14ac:dyDescent="0.35">
      <c r="A282">
        <f t="shared" si="52"/>
        <v>259</v>
      </c>
      <c r="B282" s="13">
        <f t="shared" si="53"/>
        <v>35114.998767399993</v>
      </c>
      <c r="F282">
        <f t="shared" si="54"/>
        <v>259</v>
      </c>
      <c r="G282" s="13">
        <f t="shared" si="55"/>
        <v>30349.765545154627</v>
      </c>
      <c r="AQ282">
        <v>259</v>
      </c>
      <c r="AR282" s="14">
        <v>3.5870622762248674</v>
      </c>
      <c r="AS282" s="13">
        <f t="shared" si="56"/>
        <v>35114.998767399993</v>
      </c>
      <c r="AT282" s="9">
        <v>3.1002848611905045</v>
      </c>
      <c r="AU282" s="13">
        <f t="shared" si="57"/>
        <v>30349.765545154627</v>
      </c>
    </row>
    <row r="283" spans="1:47" x14ac:dyDescent="0.35">
      <c r="A283">
        <f t="shared" si="52"/>
        <v>260</v>
      </c>
      <c r="B283" s="13">
        <f t="shared" si="53"/>
        <v>35022.663894129604</v>
      </c>
      <c r="F283">
        <f t="shared" si="54"/>
        <v>260</v>
      </c>
      <c r="G283" s="13">
        <f t="shared" si="55"/>
        <v>30320.281058957517</v>
      </c>
      <c r="AQ283">
        <v>260</v>
      </c>
      <c r="AR283" s="14">
        <v>3.5776300976027882</v>
      </c>
      <c r="AS283" s="13">
        <f t="shared" si="56"/>
        <v>35022.663894129604</v>
      </c>
      <c r="AT283" s="9">
        <v>3.0972729662201499</v>
      </c>
      <c r="AU283" s="13">
        <f t="shared" si="57"/>
        <v>30320.281058957517</v>
      </c>
    </row>
    <row r="284" spans="1:47" x14ac:dyDescent="0.35">
      <c r="A284">
        <f t="shared" si="52"/>
        <v>261</v>
      </c>
      <c r="B284" s="13">
        <f t="shared" si="53"/>
        <v>34929.905442220013</v>
      </c>
      <c r="F284">
        <f t="shared" si="54"/>
        <v>261</v>
      </c>
      <c r="G284" s="13">
        <f t="shared" si="55"/>
        <v>30290.762532493216</v>
      </c>
      <c r="AQ284">
        <v>261</v>
      </c>
      <c r="AR284" s="14">
        <v>3.5681546496368091</v>
      </c>
      <c r="AS284" s="13">
        <f t="shared" si="56"/>
        <v>34929.905442220013</v>
      </c>
      <c r="AT284" s="9">
        <v>3.0942575939733441</v>
      </c>
      <c r="AU284" s="13">
        <f t="shared" si="57"/>
        <v>30290.762532493216</v>
      </c>
    </row>
    <row r="285" spans="1:47" x14ac:dyDescent="0.35">
      <c r="A285">
        <f t="shared" si="52"/>
        <v>262</v>
      </c>
      <c r="B285" s="13">
        <f t="shared" si="53"/>
        <v>34836.723102613403</v>
      </c>
      <c r="F285">
        <f t="shared" si="54"/>
        <v>262</v>
      </c>
      <c r="G285" s="13">
        <f t="shared" si="55"/>
        <v>30261.210057110431</v>
      </c>
      <c r="AQ285">
        <v>262</v>
      </c>
      <c r="AR285" s="14">
        <v>3.5586359007561015</v>
      </c>
      <c r="AS285" s="13">
        <f t="shared" si="56"/>
        <v>34836.723102613403</v>
      </c>
      <c r="AT285" s="9">
        <v>3.0912387537815267</v>
      </c>
      <c r="AU285" s="13">
        <f t="shared" si="57"/>
        <v>30261.210057110431</v>
      </c>
    </row>
    <row r="286" spans="1:47" x14ac:dyDescent="0.35">
      <c r="A286">
        <f t="shared" si="52"/>
        <v>263</v>
      </c>
      <c r="B286" s="13">
        <f t="shared" si="53"/>
        <v>34743.116567209625</v>
      </c>
      <c r="F286">
        <f t="shared" si="54"/>
        <v>263</v>
      </c>
      <c r="G286" s="13">
        <f t="shared" si="55"/>
        <v>30231.62372356475</v>
      </c>
      <c r="AQ286">
        <v>263</v>
      </c>
      <c r="AR286" s="14">
        <v>3.5490738194876625</v>
      </c>
      <c r="AS286" s="13">
        <f t="shared" si="56"/>
        <v>34743.116567209625</v>
      </c>
      <c r="AT286" s="9">
        <v>3.0882164549155489</v>
      </c>
      <c r="AU286" s="13">
        <f t="shared" si="57"/>
        <v>30231.62372356475</v>
      </c>
    </row>
    <row r="287" spans="1:47" x14ac:dyDescent="0.35">
      <c r="A287">
        <f t="shared" si="52"/>
        <v>264</v>
      </c>
      <c r="B287" s="13">
        <f t="shared" si="53"/>
        <v>34649.085528859621</v>
      </c>
      <c r="F287">
        <f t="shared" si="54"/>
        <v>264</v>
      </c>
      <c r="G287" s="13">
        <f t="shared" si="55"/>
        <v>30202.003622024815</v>
      </c>
      <c r="AQ287">
        <v>264</v>
      </c>
      <c r="AR287" s="14">
        <v>3.5394683744556472</v>
      </c>
      <c r="AS287" s="13">
        <f t="shared" si="56"/>
        <v>34649.085528859621</v>
      </c>
      <c r="AT287" s="9">
        <v>3.0851907065863053</v>
      </c>
      <c r="AU287" s="13">
        <f t="shared" si="57"/>
        <v>30202.003622024815</v>
      </c>
    </row>
    <row r="288" spans="1:47" x14ac:dyDescent="0.35">
      <c r="A288">
        <f t="shared" si="52"/>
        <v>265</v>
      </c>
      <c r="B288" s="13">
        <f t="shared" si="53"/>
        <v>34554.629681358849</v>
      </c>
      <c r="F288">
        <f t="shared" si="54"/>
        <v>265</v>
      </c>
      <c r="G288" s="13">
        <f t="shared" si="55"/>
        <v>30172.349842078282</v>
      </c>
      <c r="AQ288">
        <v>265</v>
      </c>
      <c r="AR288" s="14">
        <v>3.5298195343806924</v>
      </c>
      <c r="AS288" s="13">
        <f t="shared" si="56"/>
        <v>34554.629681358849</v>
      </c>
      <c r="AT288" s="9">
        <v>3.0821615179453414</v>
      </c>
      <c r="AU288" s="13">
        <f t="shared" si="57"/>
        <v>30172.349842078282</v>
      </c>
    </row>
    <row r="289" spans="1:47" x14ac:dyDescent="0.35">
      <c r="A289">
        <f t="shared" si="52"/>
        <v>266</v>
      </c>
      <c r="B289" s="13">
        <f t="shared" si="53"/>
        <v>34459.748719440766</v>
      </c>
      <c r="F289">
        <f t="shared" si="54"/>
        <v>266</v>
      </c>
      <c r="G289" s="13">
        <f t="shared" si="55"/>
        <v>30142.662472737804</v>
      </c>
      <c r="AQ289">
        <v>266</v>
      </c>
      <c r="AR289" s="14">
        <v>3.5201272680792557</v>
      </c>
      <c r="AS289" s="13">
        <f t="shared" si="56"/>
        <v>34459.748719440766</v>
      </c>
      <c r="AT289" s="9">
        <v>3.0791288980854641</v>
      </c>
      <c r="AU289" s="13">
        <f t="shared" si="57"/>
        <v>30142.662472737804</v>
      </c>
    </row>
    <row r="290" spans="1:47" x14ac:dyDescent="0.35">
      <c r="A290">
        <f t="shared" si="52"/>
        <v>267</v>
      </c>
      <c r="B290" s="13">
        <f t="shared" si="53"/>
        <v>34364.442338770612</v>
      </c>
      <c r="F290">
        <f t="shared" si="54"/>
        <v>267</v>
      </c>
      <c r="G290" s="13">
        <f t="shared" si="55"/>
        <v>30112.941602446786</v>
      </c>
      <c r="AQ290">
        <v>267</v>
      </c>
      <c r="AR290" s="14">
        <v>3.510391544462975</v>
      </c>
      <c r="AS290" s="13">
        <f t="shared" si="56"/>
        <v>34364.442338770612</v>
      </c>
      <c r="AT290" s="9">
        <v>3.0760928560413316</v>
      </c>
      <c r="AU290" s="13">
        <f t="shared" si="57"/>
        <v>30112.941602446786</v>
      </c>
    </row>
    <row r="291" spans="1:47" x14ac:dyDescent="0.35">
      <c r="A291">
        <f t="shared" si="52"/>
        <v>268</v>
      </c>
      <c r="B291" s="13">
        <f t="shared" si="53"/>
        <v>34268.71023593883</v>
      </c>
      <c r="F291">
        <f t="shared" si="54"/>
        <v>268</v>
      </c>
      <c r="G291" s="13">
        <f t="shared" si="55"/>
        <v>30083.187319085217</v>
      </c>
      <c r="AQ291">
        <v>268</v>
      </c>
      <c r="AR291" s="14">
        <v>3.5006123325380019</v>
      </c>
      <c r="AS291" s="13">
        <f t="shared" si="56"/>
        <v>34268.71023593883</v>
      </c>
      <c r="AT291" s="9">
        <v>3.0730534007900481</v>
      </c>
      <c r="AU291" s="13">
        <f t="shared" si="57"/>
        <v>30083.187319085217</v>
      </c>
    </row>
    <row r="292" spans="1:47" x14ac:dyDescent="0.35">
      <c r="A292">
        <f t="shared" si="52"/>
        <v>269</v>
      </c>
      <c r="B292" s="13">
        <f t="shared" si="53"/>
        <v>34172.552108455013</v>
      </c>
      <c r="F292">
        <f t="shared" si="54"/>
        <v>269</v>
      </c>
      <c r="G292" s="13">
        <f t="shared" si="55"/>
        <v>30053.399709975307</v>
      </c>
      <c r="AQ292">
        <v>269</v>
      </c>
      <c r="AR292" s="14">
        <v>3.4907896014043804</v>
      </c>
      <c r="AS292" s="13">
        <f t="shared" si="56"/>
        <v>34172.552108455013</v>
      </c>
      <c r="AT292" s="9">
        <v>3.0700105412517393</v>
      </c>
      <c r="AU292" s="13">
        <f t="shared" si="57"/>
        <v>30053.399709975307</v>
      </c>
    </row>
    <row r="293" spans="1:47" x14ac:dyDescent="0.35">
      <c r="A293">
        <f t="shared" si="52"/>
        <v>270</v>
      </c>
      <c r="B293" s="13">
        <f t="shared" si="53"/>
        <v>34075.967654741566</v>
      </c>
      <c r="F293">
        <f t="shared" si="54"/>
        <v>270</v>
      </c>
      <c r="G293" s="13">
        <f t="shared" si="55"/>
        <v>30023.578861887112</v>
      </c>
      <c r="AQ293">
        <v>270</v>
      </c>
      <c r="AR293" s="14">
        <v>3.4809233202553997</v>
      </c>
      <c r="AS293" s="13">
        <f t="shared" si="56"/>
        <v>34075.967654741566</v>
      </c>
      <c r="AT293" s="9">
        <v>3.0669642862901267</v>
      </c>
      <c r="AU293" s="13">
        <f t="shared" si="57"/>
        <v>30023.578861887112</v>
      </c>
    </row>
    <row r="294" spans="1:47" x14ac:dyDescent="0.35">
      <c r="A294">
        <f t="shared" si="52"/>
        <v>271</v>
      </c>
      <c r="B294" s="13">
        <f t="shared" si="53"/>
        <v>33978.956574127704</v>
      </c>
      <c r="F294">
        <f t="shared" si="54"/>
        <v>271</v>
      </c>
      <c r="G294" s="13">
        <f t="shared" si="55"/>
        <v>29993.724861044058</v>
      </c>
      <c r="AQ294">
        <v>271</v>
      </c>
      <c r="AR294" s="14">
        <v>3.4710134583769801</v>
      </c>
      <c r="AS294" s="13">
        <f t="shared" si="56"/>
        <v>33978.956574127704</v>
      </c>
      <c r="AT294" s="9">
        <v>3.0639146447130945</v>
      </c>
      <c r="AU294" s="13">
        <f t="shared" si="57"/>
        <v>29993.724861044058</v>
      </c>
    </row>
    <row r="295" spans="1:47" x14ac:dyDescent="0.35">
      <c r="A295">
        <f t="shared" si="52"/>
        <v>272</v>
      </c>
      <c r="B295" s="13">
        <f t="shared" si="53"/>
        <v>33881.518566843253</v>
      </c>
      <c r="F295">
        <f t="shared" si="54"/>
        <v>272</v>
      </c>
      <c r="G295" s="13">
        <f t="shared" si="55"/>
        <v>29963.837793128365</v>
      </c>
      <c r="AQ295">
        <v>272</v>
      </c>
      <c r="AR295" s="14">
        <v>3.4610599851470436</v>
      </c>
      <c r="AS295" s="13">
        <f t="shared" si="56"/>
        <v>33881.518566843253</v>
      </c>
      <c r="AT295" s="9">
        <v>3.0608616252732395</v>
      </c>
      <c r="AU295" s="13">
        <f t="shared" si="57"/>
        <v>29963.837793128365</v>
      </c>
    </row>
    <row r="296" spans="1:47" x14ac:dyDescent="0.35">
      <c r="A296">
        <f t="shared" si="52"/>
        <v>273</v>
      </c>
      <c r="B296" s="13">
        <f t="shared" si="53"/>
        <v>33783.653334012728</v>
      </c>
      <c r="F296">
        <f t="shared" si="54"/>
        <v>273</v>
      </c>
      <c r="G296" s="13">
        <f t="shared" si="55"/>
        <v>29933.917743286449</v>
      </c>
      <c r="AQ296">
        <v>273</v>
      </c>
      <c r="AR296" s="14">
        <v>3.451062870034904</v>
      </c>
      <c r="AS296" s="13">
        <f t="shared" si="56"/>
        <v>33783.653334012728</v>
      </c>
      <c r="AT296" s="9">
        <v>3.0578052366684267</v>
      </c>
      <c r="AU296" s="13">
        <f t="shared" si="57"/>
        <v>29933.917743286449</v>
      </c>
    </row>
    <row r="297" spans="1:47" x14ac:dyDescent="0.35">
      <c r="A297">
        <f t="shared" si="52"/>
        <v>274</v>
      </c>
      <c r="B297" s="13">
        <f t="shared" si="53"/>
        <v>33685.360577649313</v>
      </c>
      <c r="F297">
        <f t="shared" si="54"/>
        <v>274</v>
      </c>
      <c r="G297" s="13">
        <f t="shared" si="55"/>
        <v>29903.964796134213</v>
      </c>
      <c r="AQ297">
        <v>274</v>
      </c>
      <c r="AR297" s="14">
        <v>3.4410220826006555</v>
      </c>
      <c r="AS297" s="13">
        <f t="shared" si="56"/>
        <v>33685.360577649313</v>
      </c>
      <c r="AT297" s="9">
        <v>3.054745487542327</v>
      </c>
      <c r="AU297" s="13">
        <f t="shared" si="57"/>
        <v>29903.964796134213</v>
      </c>
    </row>
    <row r="298" spans="1:47" x14ac:dyDescent="0.35">
      <c r="A298">
        <f t="shared" si="52"/>
        <v>275</v>
      </c>
      <c r="B298" s="13">
        <f t="shared" si="53"/>
        <v>33586.64000064908</v>
      </c>
      <c r="F298">
        <f t="shared" si="54"/>
        <v>275</v>
      </c>
      <c r="G298" s="13">
        <f t="shared" si="55"/>
        <v>29873.979035762288</v>
      </c>
      <c r="AQ298">
        <v>275</v>
      </c>
      <c r="AR298" s="14">
        <v>3.4309375924945806</v>
      </c>
      <c r="AS298" s="13">
        <f t="shared" si="56"/>
        <v>33586.64000064908</v>
      </c>
      <c r="AT298" s="9">
        <v>3.0516823864849547</v>
      </c>
      <c r="AU298" s="13">
        <f t="shared" si="57"/>
        <v>29873.979035762288</v>
      </c>
    </row>
    <row r="299" spans="1:47" x14ac:dyDescent="0.35">
      <c r="A299">
        <f t="shared" si="52"/>
        <v>276</v>
      </c>
      <c r="B299" s="13">
        <f t="shared" si="53"/>
        <v>33487.491306785145</v>
      </c>
      <c r="F299">
        <f t="shared" si="54"/>
        <v>276</v>
      </c>
      <c r="G299" s="13">
        <f t="shared" si="55"/>
        <v>29843.960545741178</v>
      </c>
      <c r="AQ299">
        <v>276</v>
      </c>
      <c r="AR299" s="14">
        <v>3.4208093694565522</v>
      </c>
      <c r="AS299" s="13">
        <f t="shared" si="56"/>
        <v>33487.491306785145</v>
      </c>
      <c r="AT299" s="9">
        <v>3.0486159420331918</v>
      </c>
      <c r="AU299" s="13">
        <f t="shared" si="57"/>
        <v>29843.960545741178</v>
      </c>
    </row>
    <row r="300" spans="1:47" x14ac:dyDescent="0.35">
      <c r="A300">
        <f t="shared" si="52"/>
        <v>277</v>
      </c>
      <c r="B300" s="13">
        <f t="shared" si="53"/>
        <v>33387.914200701693</v>
      </c>
      <c r="F300">
        <f t="shared" si="54"/>
        <v>277</v>
      </c>
      <c r="G300" s="13">
        <f t="shared" si="55"/>
        <v>29813.909409126336</v>
      </c>
      <c r="AQ300">
        <v>277</v>
      </c>
      <c r="AR300" s="14">
        <v>3.4106373833154278</v>
      </c>
      <c r="AS300" s="13">
        <f t="shared" si="56"/>
        <v>33387.914200701693</v>
      </c>
      <c r="AT300" s="9">
        <v>3.045546162671307</v>
      </c>
      <c r="AU300" s="13">
        <f t="shared" si="57"/>
        <v>29813.909409126336</v>
      </c>
    </row>
    <row r="301" spans="1:47" x14ac:dyDescent="0.35">
      <c r="A301">
        <f t="shared" si="52"/>
        <v>278</v>
      </c>
      <c r="B301" s="13">
        <f t="shared" si="53"/>
        <v>33287.908387908654</v>
      </c>
      <c r="F301">
        <f t="shared" si="54"/>
        <v>278</v>
      </c>
      <c r="G301" s="13">
        <f t="shared" si="55"/>
        <v>29783.825708463264</v>
      </c>
      <c r="AQ301">
        <v>278</v>
      </c>
      <c r="AR301" s="14">
        <v>3.4004216039884998</v>
      </c>
      <c r="AS301" s="13">
        <f t="shared" si="56"/>
        <v>33287.908387908654</v>
      </c>
      <c r="AT301" s="9">
        <v>3.0424730568314762</v>
      </c>
      <c r="AU301" s="13">
        <f t="shared" si="57"/>
        <v>29783.825708463264</v>
      </c>
    </row>
    <row r="302" spans="1:47" x14ac:dyDescent="0.35">
      <c r="A302">
        <f t="shared" si="52"/>
        <v>279</v>
      </c>
      <c r="B302" s="13">
        <f t="shared" si="53"/>
        <v>33187.473574775759</v>
      </c>
      <c r="F302">
        <f t="shared" si="54"/>
        <v>279</v>
      </c>
      <c r="G302" s="13">
        <f t="shared" si="55"/>
        <v>29753.709525792357</v>
      </c>
      <c r="AQ302">
        <v>279</v>
      </c>
      <c r="AR302" s="14">
        <v>3.3901620014808911</v>
      </c>
      <c r="AS302" s="13">
        <f t="shared" si="56"/>
        <v>33187.473574775759</v>
      </c>
      <c r="AT302" s="9">
        <v>3.0393966328942783</v>
      </c>
      <c r="AU302" s="13">
        <f t="shared" si="57"/>
        <v>29753.709525792357</v>
      </c>
    </row>
    <row r="303" spans="1:47" x14ac:dyDescent="0.35">
      <c r="A303">
        <f t="shared" si="52"/>
        <v>280</v>
      </c>
      <c r="B303" s="13">
        <f t="shared" si="53"/>
        <v>33086.609468527029</v>
      </c>
      <c r="F303">
        <f t="shared" si="54"/>
        <v>280</v>
      </c>
      <c r="G303" s="13">
        <f t="shared" si="55"/>
        <v>29723.560942653883</v>
      </c>
      <c r="AQ303">
        <v>280</v>
      </c>
      <c r="AR303" s="14">
        <v>3.3798585458849919</v>
      </c>
      <c r="AS303" s="13">
        <f t="shared" si="56"/>
        <v>33086.609468527029</v>
      </c>
      <c r="AT303" s="9">
        <v>3.0363168991892024</v>
      </c>
      <c r="AU303" s="13">
        <f t="shared" si="57"/>
        <v>29723.560942653883</v>
      </c>
    </row>
    <row r="304" spans="1:47" x14ac:dyDescent="0.35">
      <c r="A304">
        <f t="shared" si="52"/>
        <v>281</v>
      </c>
      <c r="B304" s="13">
        <f t="shared" si="53"/>
        <v>32985.315777235279</v>
      </c>
      <c r="F304">
        <f t="shared" si="54"/>
        <v>281</v>
      </c>
      <c r="G304" s="13">
        <f t="shared" si="55"/>
        <v>29693.380040092758</v>
      </c>
      <c r="AQ304">
        <v>281</v>
      </c>
      <c r="AR304" s="14">
        <v>3.3695112073798992</v>
      </c>
      <c r="AS304" s="13">
        <f t="shared" si="56"/>
        <v>32985.315777235279</v>
      </c>
      <c r="AT304" s="9">
        <v>3.0332338639951377</v>
      </c>
      <c r="AU304" s="13">
        <f t="shared" si="57"/>
        <v>29693.380040092758</v>
      </c>
    </row>
    <row r="305" spans="1:47" x14ac:dyDescent="0.35">
      <c r="A305">
        <f t="shared" si="52"/>
        <v>282</v>
      </c>
      <c r="B305" s="13">
        <f t="shared" si="53"/>
        <v>32883.592209816605</v>
      </c>
      <c r="F305">
        <f t="shared" si="54"/>
        <v>282</v>
      </c>
      <c r="G305" s="13">
        <f t="shared" si="55"/>
        <v>29663.166898663334</v>
      </c>
      <c r="AQ305">
        <v>282</v>
      </c>
      <c r="AR305" s="14">
        <v>3.3591199562308516</v>
      </c>
      <c r="AS305" s="13">
        <f t="shared" si="56"/>
        <v>32883.592209816605</v>
      </c>
      <c r="AT305" s="9">
        <v>3.0301475355408605</v>
      </c>
      <c r="AU305" s="13">
        <f t="shared" si="57"/>
        <v>29663.166898663334</v>
      </c>
    </row>
    <row r="306" spans="1:47" x14ac:dyDescent="0.35">
      <c r="A306">
        <f t="shared" si="52"/>
        <v>283</v>
      </c>
      <c r="B306" s="13">
        <f t="shared" si="53"/>
        <v>32781.43847602496</v>
      </c>
      <c r="F306">
        <f t="shared" si="54"/>
        <v>283</v>
      </c>
      <c r="G306" s="13">
        <f t="shared" si="55"/>
        <v>29632.921598434092</v>
      </c>
      <c r="AQ306">
        <v>283</v>
      </c>
      <c r="AR306" s="14">
        <v>3.3486847627886775</v>
      </c>
      <c r="AS306" s="13">
        <f t="shared" si="56"/>
        <v>32781.43847602496</v>
      </c>
      <c r="AT306" s="9">
        <v>3.0270579220055147</v>
      </c>
      <c r="AU306" s="13">
        <f t="shared" si="57"/>
        <v>29632.921598434092</v>
      </c>
    </row>
    <row r="307" spans="1:47" x14ac:dyDescent="0.35">
      <c r="A307">
        <f t="shared" si="52"/>
        <v>284</v>
      </c>
      <c r="B307" s="13">
        <f t="shared" si="53"/>
        <v>32678.854286446844</v>
      </c>
      <c r="F307">
        <f t="shared" si="54"/>
        <v>284</v>
      </c>
      <c r="G307" s="13">
        <f t="shared" si="55"/>
        <v>29602.644218992275</v>
      </c>
      <c r="AQ307">
        <v>284</v>
      </c>
      <c r="AR307" s="14">
        <v>3.3382055974892504</v>
      </c>
      <c r="AS307" s="13">
        <f t="shared" si="56"/>
        <v>32678.854286446844</v>
      </c>
      <c r="AT307" s="9">
        <v>3.0239650315190847</v>
      </c>
      <c r="AU307" s="13">
        <f t="shared" si="57"/>
        <v>29602.644218992275</v>
      </c>
    </row>
    <row r="308" spans="1:47" x14ac:dyDescent="0.35">
      <c r="A308">
        <f t="shared" si="52"/>
        <v>285</v>
      </c>
      <c r="B308" s="13">
        <f t="shared" si="53"/>
        <v>32575.839352495852</v>
      </c>
      <c r="F308">
        <f t="shared" si="54"/>
        <v>285</v>
      </c>
      <c r="G308" s="13">
        <f t="shared" si="55"/>
        <v>29572.334839448467</v>
      </c>
      <c r="AQ308">
        <v>285</v>
      </c>
      <c r="AR308" s="14">
        <v>3.327682430852934</v>
      </c>
      <c r="AS308" s="13">
        <f t="shared" si="56"/>
        <v>32575.839352495852</v>
      </c>
      <c r="AT308" s="9">
        <v>3.0208688721628638</v>
      </c>
      <c r="AU308" s="13">
        <f t="shared" si="57"/>
        <v>29572.334839448467</v>
      </c>
    </row>
    <row r="309" spans="1:47" x14ac:dyDescent="0.35">
      <c r="A309">
        <f t="shared" si="52"/>
        <v>286</v>
      </c>
      <c r="B309" s="13">
        <f t="shared" si="53"/>
        <v>32472.393386407555</v>
      </c>
      <c r="F309">
        <f t="shared" si="54"/>
        <v>286</v>
      </c>
      <c r="G309" s="13">
        <f t="shared" si="55"/>
        <v>29541.993538441118</v>
      </c>
      <c r="AQ309">
        <v>286</v>
      </c>
      <c r="AR309" s="14">
        <v>3.3171152334840577</v>
      </c>
      <c r="AS309" s="13">
        <f t="shared" si="56"/>
        <v>32472.393386407555</v>
      </c>
      <c r="AT309" s="9">
        <v>3.0177694519699152</v>
      </c>
      <c r="AU309" s="13">
        <f t="shared" si="57"/>
        <v>29541.993538441118</v>
      </c>
    </row>
    <row r="310" spans="1:47" x14ac:dyDescent="0.35">
      <c r="A310">
        <f t="shared" si="52"/>
        <v>287</v>
      </c>
      <c r="B310" s="13">
        <f t="shared" si="53"/>
        <v>32368.516101234178</v>
      </c>
      <c r="F310">
        <f t="shared" si="54"/>
        <v>287</v>
      </c>
      <c r="G310" s="13">
        <f t="shared" si="55"/>
        <v>29511.620394140984</v>
      </c>
      <c r="AQ310">
        <v>287</v>
      </c>
      <c r="AR310" s="14">
        <v>3.3065039760703736</v>
      </c>
      <c r="AS310" s="13">
        <f t="shared" si="56"/>
        <v>32368.516101234178</v>
      </c>
      <c r="AT310" s="9">
        <v>3.0146667789255268</v>
      </c>
      <c r="AU310" s="13">
        <f t="shared" si="57"/>
        <v>29511.620394140984</v>
      </c>
    </row>
    <row r="311" spans="1:47" x14ac:dyDescent="0.35">
      <c r="A311">
        <f t="shared" si="52"/>
        <v>288</v>
      </c>
      <c r="B311" s="13">
        <f t="shared" si="53"/>
        <v>32264.207210839522</v>
      </c>
      <c r="F311">
        <f t="shared" si="54"/>
        <v>288</v>
      </c>
      <c r="G311" s="13">
        <f t="shared" si="55"/>
        <v>29481.215484255568</v>
      </c>
      <c r="AQ311">
        <v>288</v>
      </c>
      <c r="AR311" s="14">
        <v>3.2958486293825384</v>
      </c>
      <c r="AS311" s="13">
        <f t="shared" si="56"/>
        <v>32264.207210839522</v>
      </c>
      <c r="AT311" s="9">
        <v>3.0115608609676645</v>
      </c>
      <c r="AU311" s="13">
        <f t="shared" si="57"/>
        <v>29481.215484255568</v>
      </c>
    </row>
    <row r="312" spans="1:47" x14ac:dyDescent="0.35">
      <c r="A312">
        <f t="shared" si="52"/>
        <v>289</v>
      </c>
      <c r="B312" s="13">
        <f t="shared" si="53"/>
        <v>32159.46642989383</v>
      </c>
      <c r="F312">
        <f t="shared" si="54"/>
        <v>289</v>
      </c>
      <c r="G312" s="13">
        <f t="shared" si="55"/>
        <v>29450.778886033419</v>
      </c>
      <c r="AQ312">
        <v>289</v>
      </c>
      <c r="AR312" s="14">
        <v>3.2851491642735882</v>
      </c>
      <c r="AS312" s="13">
        <f t="shared" si="56"/>
        <v>32159.46642989383</v>
      </c>
      <c r="AT312" s="9">
        <v>3.0084517059874099</v>
      </c>
      <c r="AU312" s="13">
        <f t="shared" si="57"/>
        <v>29450.778886033419</v>
      </c>
    </row>
    <row r="313" spans="1:47" x14ac:dyDescent="0.35">
      <c r="A313">
        <f t="shared" si="52"/>
        <v>290</v>
      </c>
      <c r="B313" s="13">
        <f t="shared" si="53"/>
        <v>32054.293473868667</v>
      </c>
      <c r="F313">
        <f t="shared" si="54"/>
        <v>290</v>
      </c>
      <c r="G313" s="13">
        <f t="shared" si="55"/>
        <v>29420.310676268458</v>
      </c>
      <c r="AQ313">
        <v>290</v>
      </c>
      <c r="AR313" s="14">
        <v>3.2744055516784161</v>
      </c>
      <c r="AS313" s="13">
        <f t="shared" si="56"/>
        <v>32054.293473868667</v>
      </c>
      <c r="AT313" s="9">
        <v>3.0053393218294056</v>
      </c>
      <c r="AU313" s="13">
        <f t="shared" si="57"/>
        <v>29420.310676268458</v>
      </c>
    </row>
    <row r="314" spans="1:47" x14ac:dyDescent="0.35">
      <c r="A314">
        <f t="shared" si="52"/>
        <v>291</v>
      </c>
      <c r="B314" s="13">
        <f t="shared" si="53"/>
        <v>31948.68805903196</v>
      </c>
      <c r="F314">
        <f t="shared" si="54"/>
        <v>291</v>
      </c>
      <c r="G314" s="13">
        <f t="shared" si="55"/>
        <v>29389.810931304182</v>
      </c>
      <c r="AQ314">
        <v>291</v>
      </c>
      <c r="AR314" s="14">
        <v>3.2636177626132623</v>
      </c>
      <c r="AS314" s="13">
        <f t="shared" si="56"/>
        <v>31948.68805903196</v>
      </c>
      <c r="AT314" s="9">
        <v>3.0022237162922814</v>
      </c>
      <c r="AU314" s="13">
        <f t="shared" si="57"/>
        <v>29389.810931304182</v>
      </c>
    </row>
    <row r="315" spans="1:47" x14ac:dyDescent="0.35">
      <c r="A315">
        <f t="shared" si="52"/>
        <v>292</v>
      </c>
      <c r="B315" s="13">
        <f t="shared" si="53"/>
        <v>31842.649902443085</v>
      </c>
      <c r="F315">
        <f t="shared" si="54"/>
        <v>292</v>
      </c>
      <c r="G315" s="13">
        <f t="shared" si="55"/>
        <v>29359.279727037894</v>
      </c>
      <c r="AQ315">
        <v>292</v>
      </c>
      <c r="AR315" s="14">
        <v>3.2527857681752188</v>
      </c>
      <c r="AS315" s="13">
        <f t="shared" si="56"/>
        <v>31842.649902443085</v>
      </c>
      <c r="AT315" s="9">
        <v>2.9991048971290866</v>
      </c>
      <c r="AU315" s="13">
        <f t="shared" si="57"/>
        <v>29359.279727037894</v>
      </c>
    </row>
    <row r="316" spans="1:47" x14ac:dyDescent="0.35">
      <c r="A316">
        <f t="shared" si="52"/>
        <v>293</v>
      </c>
      <c r="B316" s="13">
        <f t="shared" si="53"/>
        <v>31736.178721947806</v>
      </c>
      <c r="F316">
        <f t="shared" si="54"/>
        <v>293</v>
      </c>
      <c r="G316" s="13">
        <f t="shared" si="55"/>
        <v>29328.717138924756</v>
      </c>
      <c r="AQ316">
        <v>293</v>
      </c>
      <c r="AR316" s="14">
        <v>3.2419095395417066</v>
      </c>
      <c r="AS316" s="13">
        <f t="shared" si="56"/>
        <v>31736.178721947806</v>
      </c>
      <c r="AT316" s="9">
        <v>2.9959828720477071</v>
      </c>
      <c r="AU316" s="13">
        <f t="shared" si="57"/>
        <v>29328.717138924756</v>
      </c>
    </row>
    <row r="317" spans="1:47" x14ac:dyDescent="0.35">
      <c r="A317">
        <f t="shared" si="52"/>
        <v>294</v>
      </c>
      <c r="B317" s="13">
        <f t="shared" si="53"/>
        <v>31629.274236173584</v>
      </c>
      <c r="F317">
        <f t="shared" si="54"/>
        <v>294</v>
      </c>
      <c r="G317" s="13">
        <f t="shared" si="55"/>
        <v>29298.123241981953</v>
      </c>
      <c r="AQ317">
        <v>294</v>
      </c>
      <c r="AR317" s="14">
        <v>3.2309890479699988</v>
      </c>
      <c r="AS317" s="13">
        <f t="shared" si="56"/>
        <v>31629.274236173584</v>
      </c>
      <c r="AT317" s="9">
        <v>2.9928576487112872</v>
      </c>
      <c r="AU317" s="13">
        <f t="shared" si="57"/>
        <v>29298.123241981953</v>
      </c>
    </row>
    <row r="318" spans="1:47" x14ac:dyDescent="0.35">
      <c r="A318">
        <f t="shared" si="52"/>
        <v>295</v>
      </c>
      <c r="B318" s="13">
        <f t="shared" si="53"/>
        <v>31521.936164524574</v>
      </c>
      <c r="F318">
        <f t="shared" si="54"/>
        <v>295</v>
      </c>
      <c r="G318" s="13">
        <f t="shared" si="55"/>
        <v>29267.498110792632</v>
      </c>
      <c r="AQ318">
        <v>295</v>
      </c>
      <c r="AR318" s="14">
        <v>3.2200242647967086</v>
      </c>
      <c r="AS318" s="13">
        <f t="shared" si="56"/>
        <v>31521.936164524574</v>
      </c>
      <c r="AT318" s="9">
        <v>2.9897292347386331</v>
      </c>
      <c r="AU318" s="13">
        <f t="shared" si="57"/>
        <v>29267.498110792632</v>
      </c>
    </row>
    <row r="319" spans="1:47" x14ac:dyDescent="0.35">
      <c r="A319">
        <f t="shared" si="52"/>
        <v>296</v>
      </c>
      <c r="B319" s="13">
        <f t="shared" si="53"/>
        <v>31414.164227177072</v>
      </c>
      <c r="F319">
        <f t="shared" si="54"/>
        <v>296</v>
      </c>
      <c r="G319" s="13">
        <f t="shared" si="55"/>
        <v>29236.841819509955</v>
      </c>
      <c r="AQ319">
        <v>296</v>
      </c>
      <c r="AR319" s="14">
        <v>3.2090151614373261</v>
      </c>
      <c r="AS319" s="13">
        <f t="shared" si="56"/>
        <v>31414.164227177072</v>
      </c>
      <c r="AT319" s="9">
        <v>2.9865976377046293</v>
      </c>
      <c r="AU319" s="13">
        <f t="shared" si="57"/>
        <v>29236.841819509955</v>
      </c>
    </row>
    <row r="320" spans="1:47" x14ac:dyDescent="0.35">
      <c r="A320">
        <f t="shared" si="52"/>
        <v>297</v>
      </c>
      <c r="B320" s="13">
        <f t="shared" si="53"/>
        <v>31305.958145074506</v>
      </c>
      <c r="F320">
        <f t="shared" si="54"/>
        <v>297</v>
      </c>
      <c r="G320" s="13">
        <f t="shared" si="55"/>
        <v>29206.154441860952</v>
      </c>
      <c r="AQ320">
        <v>297</v>
      </c>
      <c r="AR320" s="14">
        <v>3.1979617093857047</v>
      </c>
      <c r="AS320" s="13">
        <f t="shared" si="56"/>
        <v>31305.958145074506</v>
      </c>
      <c r="AT320" s="9">
        <v>2.9834628651406274</v>
      </c>
      <c r="AU320" s="13">
        <f t="shared" si="57"/>
        <v>29206.154441860952</v>
      </c>
    </row>
    <row r="321" spans="1:47" x14ac:dyDescent="0.35">
      <c r="A321">
        <f t="shared" si="52"/>
        <v>298</v>
      </c>
      <c r="B321" s="13">
        <f t="shared" si="53"/>
        <v>31197.317639922981</v>
      </c>
      <c r="F321">
        <f t="shared" si="54"/>
        <v>298</v>
      </c>
      <c r="G321" s="13">
        <f t="shared" si="55"/>
        <v>29175.436051150456</v>
      </c>
      <c r="AQ321">
        <v>298</v>
      </c>
      <c r="AR321" s="14">
        <v>3.1868638802136062</v>
      </c>
      <c r="AS321" s="13">
        <f t="shared" si="56"/>
        <v>31197.317639922981</v>
      </c>
      <c r="AT321" s="9">
        <v>2.9803249245348522</v>
      </c>
      <c r="AU321" s="13">
        <f t="shared" si="57"/>
        <v>29175.436051150456</v>
      </c>
    </row>
    <row r="322" spans="1:47" x14ac:dyDescent="0.35">
      <c r="A322">
        <f t="shared" si="52"/>
        <v>299</v>
      </c>
      <c r="B322" s="13">
        <f t="shared" si="53"/>
        <v>31088.242434186566</v>
      </c>
      <c r="F322">
        <f t="shared" si="54"/>
        <v>299</v>
      </c>
      <c r="G322" s="13">
        <f t="shared" si="55"/>
        <v>29144.686720264897</v>
      </c>
      <c r="AQ322">
        <v>299</v>
      </c>
      <c r="AR322" s="14">
        <v>3.1757216455702206</v>
      </c>
      <c r="AS322" s="13">
        <f t="shared" si="56"/>
        <v>31088.242434186566</v>
      </c>
      <c r="AT322" s="9">
        <v>2.9771838233327887</v>
      </c>
      <c r="AU322" s="13">
        <f t="shared" si="57"/>
        <v>29144.686720264897</v>
      </c>
    </row>
    <row r="323" spans="1:47" x14ac:dyDescent="0.35">
      <c r="A323">
        <f t="shared" si="52"/>
        <v>300</v>
      </c>
      <c r="B323" s="13">
        <f t="shared" si="53"/>
        <v>30978.732251082671</v>
      </c>
      <c r="F323">
        <f t="shared" si="54"/>
        <v>300</v>
      </c>
      <c r="G323" s="13">
        <f t="shared" si="55"/>
        <v>29113.906521676086</v>
      </c>
      <c r="AQ323">
        <v>300</v>
      </c>
      <c r="AR323" s="14">
        <v>3.1645349771816931</v>
      </c>
      <c r="AS323" s="13">
        <f t="shared" si="56"/>
        <v>30978.732251082671</v>
      </c>
      <c r="AT323" s="9">
        <v>2.9740395689375663</v>
      </c>
      <c r="AU323" s="13">
        <f t="shared" si="57"/>
        <v>29113.906521676086</v>
      </c>
    </row>
    <row r="324" spans="1:47" x14ac:dyDescent="0.35">
      <c r="A324">
        <f t="shared" si="52"/>
        <v>301</v>
      </c>
      <c r="B324" s="13">
        <f t="shared" si="53"/>
        <v>30868.786814577492</v>
      </c>
      <c r="F324">
        <f t="shared" si="54"/>
        <v>301</v>
      </c>
      <c r="G324" s="13">
        <f t="shared" si="55"/>
        <v>29083.095527444959</v>
      </c>
      <c r="AQ324">
        <v>301</v>
      </c>
      <c r="AR324" s="14">
        <v>3.1533038468506582</v>
      </c>
      <c r="AS324" s="13">
        <f t="shared" si="56"/>
        <v>30868.786814577492</v>
      </c>
      <c r="AT324" s="9">
        <v>2.9708921687103431</v>
      </c>
      <c r="AU324" s="13">
        <f t="shared" si="57"/>
        <v>29083.095527444959</v>
      </c>
    </row>
    <row r="325" spans="1:47" x14ac:dyDescent="0.35">
      <c r="A325">
        <f t="shared" si="52"/>
        <v>302</v>
      </c>
      <c r="B325" s="13">
        <f t="shared" si="53"/>
        <v>30758.40584938147</v>
      </c>
      <c r="F325">
        <f t="shared" si="54"/>
        <v>302</v>
      </c>
      <c r="G325" s="13">
        <f t="shared" si="55"/>
        <v>29052.253809225251</v>
      </c>
      <c r="AQ325">
        <v>302</v>
      </c>
      <c r="AR325" s="14">
        <v>3.1420282264557766</v>
      </c>
      <c r="AS325" s="13">
        <f t="shared" si="56"/>
        <v>30758.40584938147</v>
      </c>
      <c r="AT325" s="9">
        <v>2.9677416299706811</v>
      </c>
      <c r="AU325" s="13">
        <f t="shared" si="57"/>
        <v>29052.253809225251</v>
      </c>
    </row>
    <row r="326" spans="1:47" x14ac:dyDescent="0.35">
      <c r="A326">
        <f t="shared" si="52"/>
        <v>303</v>
      </c>
      <c r="B326" s="13">
        <f t="shared" si="53"/>
        <v>30647.58908094501</v>
      </c>
      <c r="F326">
        <f t="shared" si="54"/>
        <v>303</v>
      </c>
      <c r="G326" s="13">
        <f t="shared" si="55"/>
        <v>29021.381438267155</v>
      </c>
      <c r="AQ326">
        <v>303</v>
      </c>
      <c r="AR326" s="14">
        <v>3.1307080879512976</v>
      </c>
      <c r="AS326" s="13">
        <f t="shared" si="56"/>
        <v>30647.58908094501</v>
      </c>
      <c r="AT326" s="9">
        <v>2.96458795999692</v>
      </c>
      <c r="AU326" s="13">
        <f t="shared" si="57"/>
        <v>29021.381438267155</v>
      </c>
    </row>
    <row r="327" spans="1:47" x14ac:dyDescent="0.35">
      <c r="A327">
        <f t="shared" si="52"/>
        <v>304</v>
      </c>
      <c r="B327" s="13">
        <f t="shared" si="53"/>
        <v>30536.336235453738</v>
      </c>
      <c r="F327">
        <f t="shared" si="54"/>
        <v>304</v>
      </c>
      <c r="G327" s="13">
        <f t="shared" si="55"/>
        <v>28990.478485420888</v>
      </c>
      <c r="AQ327">
        <v>304</v>
      </c>
      <c r="AR327" s="14">
        <v>3.1193434033665755</v>
      </c>
      <c r="AS327" s="13">
        <f t="shared" si="56"/>
        <v>30536.336235453738</v>
      </c>
      <c r="AT327" s="9">
        <v>2.9614311660265411</v>
      </c>
      <c r="AU327" s="13">
        <f t="shared" si="57"/>
        <v>28990.478485420888</v>
      </c>
    </row>
    <row r="328" spans="1:47" x14ac:dyDescent="0.35">
      <c r="A328">
        <f t="shared" si="52"/>
        <v>305</v>
      </c>
      <c r="B328" s="13">
        <f t="shared" si="53"/>
        <v>30424.647039824431</v>
      </c>
      <c r="F328">
        <f t="shared" si="54"/>
        <v>305</v>
      </c>
      <c r="G328" s="13">
        <f t="shared" si="55"/>
        <v>28959.545021140304</v>
      </c>
      <c r="AQ328">
        <v>305</v>
      </c>
      <c r="AR328" s="14">
        <v>3.1079341448056517</v>
      </c>
      <c r="AS328" s="13">
        <f t="shared" si="56"/>
        <v>30424.647039824431</v>
      </c>
      <c r="AT328" s="9">
        <v>2.9582712552565353</v>
      </c>
      <c r="AU328" s="13">
        <f t="shared" si="57"/>
        <v>28959.545021140304</v>
      </c>
    </row>
    <row r="329" spans="1:47" x14ac:dyDescent="0.35">
      <c r="A329">
        <f t="shared" si="52"/>
        <v>306</v>
      </c>
      <c r="B329" s="13">
        <f t="shared" si="53"/>
        <v>30312.521221700477</v>
      </c>
      <c r="F329">
        <f t="shared" si="54"/>
        <v>306</v>
      </c>
      <c r="G329" s="13">
        <f t="shared" si="55"/>
        <v>28928.58111548634</v>
      </c>
      <c r="AQ329">
        <v>306</v>
      </c>
      <c r="AR329" s="14">
        <v>3.0964802844467929</v>
      </c>
      <c r="AS329" s="13">
        <f t="shared" si="56"/>
        <v>30312.521221700477</v>
      </c>
      <c r="AT329" s="9">
        <v>2.9551082348437587</v>
      </c>
      <c r="AU329" s="13">
        <f t="shared" si="57"/>
        <v>28928.58111548634</v>
      </c>
    </row>
    <row r="330" spans="1:47" x14ac:dyDescent="0.35">
      <c r="A330">
        <f t="shared" si="52"/>
        <v>307</v>
      </c>
      <c r="B330" s="13">
        <f t="shared" si="53"/>
        <v>30199.958509447533</v>
      </c>
      <c r="F330">
        <f t="shared" si="54"/>
        <v>307</v>
      </c>
      <c r="G330" s="13">
        <f t="shared" si="55"/>
        <v>28897.586838130523</v>
      </c>
      <c r="AQ330">
        <v>307</v>
      </c>
      <c r="AR330" s="14">
        <v>3.0849817945420477</v>
      </c>
      <c r="AS330" s="13">
        <f t="shared" si="56"/>
        <v>30199.958509447533</v>
      </c>
      <c r="AT330" s="9">
        <v>2.9519421119052858</v>
      </c>
      <c r="AU330" s="13">
        <f t="shared" si="57"/>
        <v>28897.586838130523</v>
      </c>
    </row>
    <row r="331" spans="1:47" x14ac:dyDescent="0.35">
      <c r="A331">
        <f t="shared" si="52"/>
        <v>308</v>
      </c>
      <c r="B331" s="13">
        <f t="shared" si="53"/>
        <v>30086.958632149461</v>
      </c>
      <c r="F331">
        <f t="shared" si="54"/>
        <v>308</v>
      </c>
      <c r="G331" s="13">
        <f t="shared" si="55"/>
        <v>28866.562258358372</v>
      </c>
      <c r="AQ331">
        <v>308</v>
      </c>
      <c r="AR331" s="14">
        <v>3.0734386474168298</v>
      </c>
      <c r="AS331" s="13">
        <f t="shared" si="56"/>
        <v>30086.958632149461</v>
      </c>
      <c r="AT331" s="9">
        <v>2.948772893518762</v>
      </c>
      <c r="AU331" s="13">
        <f t="shared" si="57"/>
        <v>28866.562258358372</v>
      </c>
    </row>
    <row r="332" spans="1:47" x14ac:dyDescent="0.35">
      <c r="A332">
        <f t="shared" si="52"/>
        <v>309</v>
      </c>
      <c r="B332" s="13">
        <f t="shared" si="53"/>
        <v>29973.521319603879</v>
      </c>
      <c r="F332">
        <f t="shared" si="54"/>
        <v>309</v>
      </c>
      <c r="G332" s="13">
        <f t="shared" si="55"/>
        <v>28835.507445072813</v>
      </c>
      <c r="AQ332">
        <v>309</v>
      </c>
      <c r="AR332" s="14">
        <v>3.0618508154694637</v>
      </c>
      <c r="AS332" s="13">
        <f t="shared" si="56"/>
        <v>29973.521319603879</v>
      </c>
      <c r="AT332" s="9">
        <v>2.9456005867227484</v>
      </c>
      <c r="AU332" s="13">
        <f t="shared" si="57"/>
        <v>28835.507445072813</v>
      </c>
    </row>
    <row r="333" spans="1:47" x14ac:dyDescent="0.35">
      <c r="A333">
        <f t="shared" si="52"/>
        <v>310</v>
      </c>
      <c r="B333" s="13">
        <f t="shared" si="53"/>
        <v>29859.646302318164</v>
      </c>
      <c r="F333">
        <f t="shared" si="54"/>
        <v>310</v>
      </c>
      <c r="G333" s="13">
        <f t="shared" si="55"/>
        <v>28804.42246679751</v>
      </c>
      <c r="AQ333">
        <v>310</v>
      </c>
      <c r="AR333" s="14">
        <v>3.0502182711707793</v>
      </c>
      <c r="AS333" s="13">
        <f t="shared" si="56"/>
        <v>29859.646302318164</v>
      </c>
      <c r="AT333" s="9">
        <v>2.9424251985170646</v>
      </c>
      <c r="AU333" s="13">
        <f t="shared" si="57"/>
        <v>28804.42246679751</v>
      </c>
    </row>
    <row r="334" spans="1:47" x14ac:dyDescent="0.35">
      <c r="A334">
        <f t="shared" si="52"/>
        <v>311</v>
      </c>
      <c r="B334" s="13">
        <f t="shared" si="53"/>
        <v>29745.333311505208</v>
      </c>
      <c r="F334">
        <f t="shared" si="54"/>
        <v>311</v>
      </c>
      <c r="G334" s="13">
        <f t="shared" si="55"/>
        <v>28773.307391680173</v>
      </c>
      <c r="AQ334">
        <v>311</v>
      </c>
      <c r="AR334" s="14">
        <v>3.0385409870636733</v>
      </c>
      <c r="AS334" s="13">
        <f t="shared" si="56"/>
        <v>29745.333311505208</v>
      </c>
      <c r="AT334" s="9">
        <v>2.9392467358631249</v>
      </c>
      <c r="AU334" s="13">
        <f t="shared" si="57"/>
        <v>28773.307391680173</v>
      </c>
    </row>
    <row r="335" spans="1:47" x14ac:dyDescent="0.35">
      <c r="A335">
        <f t="shared" si="52"/>
        <v>312</v>
      </c>
      <c r="B335" s="13">
        <f t="shared" si="53"/>
        <v>29630.582079079148</v>
      </c>
      <c r="F335">
        <f t="shared" si="54"/>
        <v>312</v>
      </c>
      <c r="G335" s="13">
        <f t="shared" si="55"/>
        <v>28742.162287495776</v>
      </c>
      <c r="AQ335">
        <v>312</v>
      </c>
      <c r="AR335" s="14">
        <v>3.0268189357626789</v>
      </c>
      <c r="AS335" s="13">
        <f t="shared" si="56"/>
        <v>29630.582079079148</v>
      </c>
      <c r="AT335" s="9">
        <v>2.9360652056842702</v>
      </c>
      <c r="AU335" s="13">
        <f t="shared" si="57"/>
        <v>28742.162287495776</v>
      </c>
    </row>
    <row r="336" spans="1:47" x14ac:dyDescent="0.35">
      <c r="A336">
        <f t="shared" si="52"/>
        <v>313</v>
      </c>
      <c r="B336" s="13">
        <f t="shared" si="53"/>
        <v>29515.392337651687</v>
      </c>
      <c r="F336">
        <f t="shared" si="54"/>
        <v>313</v>
      </c>
      <c r="G336" s="13">
        <f t="shared" si="55"/>
        <v>28710.987221649895</v>
      </c>
      <c r="AQ336">
        <v>313</v>
      </c>
      <c r="AR336" s="14">
        <v>3.015052089953584</v>
      </c>
      <c r="AS336" s="13">
        <f t="shared" si="56"/>
        <v>29515.392337651687</v>
      </c>
      <c r="AT336" s="9">
        <v>2.9328806148661037</v>
      </c>
      <c r="AU336" s="13">
        <f t="shared" si="57"/>
        <v>28710.987221649895</v>
      </c>
    </row>
    <row r="337" spans="1:47" x14ac:dyDescent="0.35">
      <c r="A337">
        <f t="shared" si="52"/>
        <v>314</v>
      </c>
      <c r="B337" s="13">
        <f t="shared" si="53"/>
        <v>29399.763820527609</v>
      </c>
      <c r="F337">
        <f t="shared" si="54"/>
        <v>314</v>
      </c>
      <c r="G337" s="13">
        <f t="shared" si="55"/>
        <v>28679.782261181757</v>
      </c>
      <c r="AQ337">
        <v>314</v>
      </c>
      <c r="AR337" s="14">
        <v>3.0032404223929787</v>
      </c>
      <c r="AS337" s="13">
        <f t="shared" si="56"/>
        <v>29399.763820527609</v>
      </c>
      <c r="AT337" s="9">
        <v>2.9296929702568075</v>
      </c>
      <c r="AU337" s="13">
        <f t="shared" si="57"/>
        <v>28679.782261181757</v>
      </c>
    </row>
    <row r="338" spans="1:47" x14ac:dyDescent="0.35">
      <c r="A338">
        <f t="shared" si="52"/>
        <v>315</v>
      </c>
      <c r="B338" s="13">
        <f t="shared" si="53"/>
        <v>29283.696261701065</v>
      </c>
      <c r="F338">
        <f t="shared" si="54"/>
        <v>315</v>
      </c>
      <c r="G338" s="13">
        <f t="shared" si="55"/>
        <v>28648.547472767514</v>
      </c>
      <c r="AQ338">
        <v>315</v>
      </c>
      <c r="AR338" s="14">
        <v>2.9913839059078713</v>
      </c>
      <c r="AS338" s="13">
        <f t="shared" si="56"/>
        <v>29283.696261701065</v>
      </c>
      <c r="AT338" s="9">
        <v>2.9265022786674741</v>
      </c>
      <c r="AU338" s="13">
        <f t="shared" si="57"/>
        <v>28648.547472767514</v>
      </c>
    </row>
    <row r="339" spans="1:47" x14ac:dyDescent="0.35">
      <c r="A339">
        <f t="shared" si="52"/>
        <v>316</v>
      </c>
      <c r="B339" s="13">
        <f t="shared" si="53"/>
        <v>29167.189395851554</v>
      </c>
      <c r="F339">
        <f t="shared" si="54"/>
        <v>316</v>
      </c>
      <c r="G339" s="13">
        <f t="shared" si="55"/>
        <v>28617.282922723294</v>
      </c>
      <c r="AQ339">
        <v>316</v>
      </c>
      <c r="AR339" s="14">
        <v>2.9794825133952805</v>
      </c>
      <c r="AS339" s="13">
        <f t="shared" si="56"/>
        <v>29167.189395851554</v>
      </c>
      <c r="AT339" s="9">
        <v>2.9233085468724189</v>
      </c>
      <c r="AU339" s="13">
        <f t="shared" si="57"/>
        <v>28617.282922723294</v>
      </c>
    </row>
    <row r="340" spans="1:47" x14ac:dyDescent="0.35">
      <c r="A340">
        <f t="shared" si="52"/>
        <v>317</v>
      </c>
      <c r="B340" s="13">
        <f t="shared" si="53"/>
        <v>29050.242958339903</v>
      </c>
      <c r="F340">
        <f t="shared" si="54"/>
        <v>317</v>
      </c>
      <c r="G340" s="13">
        <f t="shared" si="55"/>
        <v>28585.988677008278</v>
      </c>
      <c r="AQ340">
        <v>317</v>
      </c>
      <c r="AR340" s="14">
        <v>2.9675362178218236</v>
      </c>
      <c r="AS340" s="13">
        <f t="shared" si="56"/>
        <v>29050.242958339903</v>
      </c>
      <c r="AT340" s="9">
        <v>2.9201117816094948</v>
      </c>
      <c r="AU340" s="13">
        <f t="shared" si="57"/>
        <v>28585.988677008278</v>
      </c>
    </row>
    <row r="341" spans="1:47" x14ac:dyDescent="0.35">
      <c r="A341">
        <f t="shared" si="52"/>
        <v>318</v>
      </c>
      <c r="B341" s="13">
        <f t="shared" si="53"/>
        <v>28932.856685204402</v>
      </c>
      <c r="F341">
        <f t="shared" si="54"/>
        <v>318</v>
      </c>
      <c r="G341" s="13">
        <f t="shared" si="55"/>
        <v>28554.664801227755</v>
      </c>
      <c r="AQ341">
        <v>318</v>
      </c>
      <c r="AR341" s="14">
        <v>2.9555449922233223</v>
      </c>
      <c r="AS341" s="13">
        <f t="shared" si="56"/>
        <v>28932.856685204402</v>
      </c>
      <c r="AT341" s="9">
        <v>2.9169119895804037</v>
      </c>
      <c r="AU341" s="13">
        <f t="shared" si="57"/>
        <v>28554.664801227755</v>
      </c>
    </row>
    <row r="342" spans="1:47" x14ac:dyDescent="0.35">
      <c r="A342">
        <f t="shared" si="52"/>
        <v>319</v>
      </c>
      <c r="B342" s="13">
        <f t="shared" si="53"/>
        <v>28815.030313157018</v>
      </c>
      <c r="F342">
        <f t="shared" si="54"/>
        <v>319</v>
      </c>
      <c r="G342" s="13">
        <f t="shared" si="55"/>
        <v>28523.311360636126</v>
      </c>
      <c r="AQ342">
        <v>319</v>
      </c>
      <c r="AR342" s="14">
        <v>2.9435088097044155</v>
      </c>
      <c r="AS342" s="13">
        <f t="shared" si="56"/>
        <v>28815.030313157018</v>
      </c>
      <c r="AT342" s="9">
        <v>2.913709177451004</v>
      </c>
      <c r="AU342" s="13">
        <f t="shared" si="57"/>
        <v>28523.311360636126</v>
      </c>
    </row>
    <row r="343" spans="1:47" x14ac:dyDescent="0.35">
      <c r="A343">
        <f t="shared" si="52"/>
        <v>320</v>
      </c>
      <c r="B343" s="13">
        <f t="shared" si="53"/>
        <v>28696.763579579463</v>
      </c>
      <c r="F343">
        <f t="shared" si="54"/>
        <v>320</v>
      </c>
      <c r="G343" s="13">
        <f t="shared" si="55"/>
        <v>28491.928420139902</v>
      </c>
      <c r="AQ343">
        <v>320</v>
      </c>
      <c r="AR343" s="14">
        <v>2.9314276434381581</v>
      </c>
      <c r="AS343" s="13">
        <f t="shared" si="56"/>
        <v>28696.763579579463</v>
      </c>
      <c r="AT343" s="9">
        <v>2.9105033518516157</v>
      </c>
      <c r="AU343" s="13">
        <f t="shared" si="57"/>
        <v>28491.928420139902</v>
      </c>
    </row>
    <row r="344" spans="1:47" x14ac:dyDescent="0.35">
      <c r="A344">
        <f t="shared" ref="A344:A407" si="58">AQ344*B$16*B$17</f>
        <v>321</v>
      </c>
      <c r="B344" s="13">
        <f t="shared" ref="B344:B407" si="59">IF(B$14="DDC-1T+",AS344*B$15*B$17^2,AU344*B$15*B$17^2)</f>
        <v>28578.056222519463</v>
      </c>
      <c r="F344">
        <f t="shared" ref="F344:F407" si="60">AQ344*G$16*G$17</f>
        <v>321</v>
      </c>
      <c r="G344" s="13">
        <f t="shared" ref="G344:G407" si="61">IF(G$14="DDC-1T+",AS344*G$15*G$17^2,AU344*G$15*G$17^2)</f>
        <v>28460.51604430057</v>
      </c>
      <c r="AQ344">
        <v>321</v>
      </c>
      <c r="AR344" s="14">
        <v>2.9193014666656394</v>
      </c>
      <c r="AS344" s="13">
        <f t="shared" ref="AS344:AS407" si="62">AR344*998.2*9.807</f>
        <v>28578.056222519463</v>
      </c>
      <c r="AT344" s="9">
        <v>2.9072945193773148</v>
      </c>
      <c r="AU344" s="13">
        <f t="shared" ref="AU344:AU407" si="63">AT344*998.2*9.807</f>
        <v>28460.51604430057</v>
      </c>
    </row>
    <row r="345" spans="1:47" x14ac:dyDescent="0.35">
      <c r="A345">
        <f t="shared" si="58"/>
        <v>322</v>
      </c>
      <c r="B345" s="13">
        <f t="shared" si="59"/>
        <v>28458.907980686949</v>
      </c>
      <c r="F345">
        <f t="shared" si="60"/>
        <v>322</v>
      </c>
      <c r="G345" s="13">
        <f t="shared" si="61"/>
        <v>28429.074297337564</v>
      </c>
      <c r="AQ345">
        <v>322</v>
      </c>
      <c r="AR345" s="14">
        <v>2.9071302526955929</v>
      </c>
      <c r="AS345" s="13">
        <f t="shared" si="62"/>
        <v>28458.907980686949</v>
      </c>
      <c r="AT345" s="9">
        <v>2.9040826865882359</v>
      </c>
      <c r="AU345" s="13">
        <f t="shared" si="63"/>
        <v>28429.074297337564</v>
      </c>
    </row>
    <row r="346" spans="1:47" x14ac:dyDescent="0.35">
      <c r="A346">
        <f t="shared" si="58"/>
        <v>323</v>
      </c>
      <c r="B346" s="13">
        <f t="shared" si="59"/>
        <v>28339.318593450447</v>
      </c>
      <c r="F346">
        <f t="shared" si="60"/>
        <v>323</v>
      </c>
      <c r="G346" s="13">
        <f t="shared" si="61"/>
        <v>28397.603243131136</v>
      </c>
      <c r="AQ346">
        <v>323</v>
      </c>
      <c r="AR346" s="14">
        <v>2.8949139749040316</v>
      </c>
      <c r="AS346" s="13">
        <f t="shared" si="62"/>
        <v>28339.318593450447</v>
      </c>
      <c r="AT346" s="9">
        <v>2.9008678600098645</v>
      </c>
      <c r="AU346" s="13">
        <f t="shared" si="63"/>
        <v>28397.603243131136</v>
      </c>
    </row>
    <row r="347" spans="1:47" x14ac:dyDescent="0.35">
      <c r="A347">
        <f t="shared" si="58"/>
        <v>324</v>
      </c>
      <c r="B347" s="13">
        <f t="shared" si="59"/>
        <v>28219.287800833146</v>
      </c>
      <c r="F347">
        <f t="shared" si="60"/>
        <v>324</v>
      </c>
      <c r="G347" s="13">
        <f t="shared" si="61"/>
        <v>28366.102945225124</v>
      </c>
      <c r="AQ347">
        <v>324</v>
      </c>
      <c r="AR347" s="14">
        <v>2.8826526067338407</v>
      </c>
      <c r="AS347" s="13">
        <f t="shared" si="62"/>
        <v>28219.287800833146</v>
      </c>
      <c r="AT347" s="9">
        <v>2.8976500461333226</v>
      </c>
      <c r="AU347" s="13">
        <f t="shared" si="63"/>
        <v>28366.102945225124</v>
      </c>
    </row>
    <row r="348" spans="1:47" x14ac:dyDescent="0.35">
      <c r="A348">
        <f t="shared" si="58"/>
        <v>325</v>
      </c>
      <c r="B348" s="13">
        <f t="shared" si="59"/>
        <v>28098.815343509472</v>
      </c>
      <c r="F348">
        <f t="shared" si="60"/>
        <v>325</v>
      </c>
      <c r="G348" s="13">
        <f t="shared" si="61"/>
        <v>28334.573466829825</v>
      </c>
      <c r="AQ348">
        <v>325</v>
      </c>
      <c r="AR348" s="14">
        <v>2.8703461216944319</v>
      </c>
      <c r="AS348" s="13">
        <f t="shared" si="62"/>
        <v>28098.815343509472</v>
      </c>
      <c r="AT348" s="9">
        <v>2.8944292514156582</v>
      </c>
      <c r="AU348" s="13">
        <f t="shared" si="63"/>
        <v>28334.573466829825</v>
      </c>
    </row>
    <row r="349" spans="1:47" x14ac:dyDescent="0.35">
      <c r="A349">
        <f t="shared" si="58"/>
        <v>326</v>
      </c>
      <c r="B349" s="13">
        <f t="shared" si="59"/>
        <v>27977.900962801337</v>
      </c>
      <c r="F349">
        <f t="shared" si="60"/>
        <v>326</v>
      </c>
      <c r="G349" s="13">
        <f t="shared" si="61"/>
        <v>28303.014870824732</v>
      </c>
      <c r="AQ349">
        <v>326</v>
      </c>
      <c r="AR349" s="14">
        <v>2.8579944933613586</v>
      </c>
      <c r="AS349" s="13">
        <f t="shared" si="62"/>
        <v>27977.900962801337</v>
      </c>
      <c r="AT349" s="9">
        <v>2.891205482280129</v>
      </c>
      <c r="AU349" s="13">
        <f t="shared" si="63"/>
        <v>28303.014870824732</v>
      </c>
    </row>
    <row r="350" spans="1:47" x14ac:dyDescent="0.35">
      <c r="A350">
        <f t="shared" si="58"/>
        <v>327</v>
      </c>
      <c r="B350" s="13">
        <f t="shared" si="59"/>
        <v>27856.544400674578</v>
      </c>
      <c r="F350">
        <f t="shared" si="60"/>
        <v>327</v>
      </c>
      <c r="G350" s="13">
        <f t="shared" si="61"/>
        <v>28271.427219761306</v>
      </c>
      <c r="AQ350">
        <v>327</v>
      </c>
      <c r="AR350" s="14">
        <v>2.845597695375953</v>
      </c>
      <c r="AS350" s="13">
        <f t="shared" si="62"/>
        <v>27856.544400674578</v>
      </c>
      <c r="AT350" s="9">
        <v>2.8879787451164827</v>
      </c>
      <c r="AU350" s="13">
        <f t="shared" si="63"/>
        <v>28271.427219761306</v>
      </c>
    </row>
    <row r="351" spans="1:47" x14ac:dyDescent="0.35">
      <c r="A351">
        <f t="shared" si="58"/>
        <v>328</v>
      </c>
      <c r="B351" s="13">
        <f t="shared" si="59"/>
        <v>27734.745399735297</v>
      </c>
      <c r="F351">
        <f t="shared" si="60"/>
        <v>328</v>
      </c>
      <c r="G351" s="13">
        <f t="shared" si="61"/>
        <v>28239.810575865646</v>
      </c>
      <c r="AQ351">
        <v>328</v>
      </c>
      <c r="AR351" s="14">
        <v>2.8331557014449498</v>
      </c>
      <c r="AS351" s="13">
        <f t="shared" si="62"/>
        <v>27734.745399735297</v>
      </c>
      <c r="AT351" s="9">
        <v>2.8847490462812306</v>
      </c>
      <c r="AU351" s="13">
        <f t="shared" si="63"/>
        <v>28239.810575865646</v>
      </c>
    </row>
    <row r="352" spans="1:47" x14ac:dyDescent="0.35">
      <c r="A352">
        <f t="shared" si="58"/>
        <v>329</v>
      </c>
      <c r="B352" s="13">
        <f t="shared" si="59"/>
        <v>27612.503703226495</v>
      </c>
      <c r="F352">
        <f t="shared" si="60"/>
        <v>329</v>
      </c>
      <c r="G352" s="13">
        <f t="shared" si="61"/>
        <v>28208.165001041209</v>
      </c>
      <c r="AQ352">
        <v>329</v>
      </c>
      <c r="AR352" s="14">
        <v>2.8206684853401458</v>
      </c>
      <c r="AS352" s="13">
        <f t="shared" si="62"/>
        <v>27612.503703226495</v>
      </c>
      <c r="AT352" s="9">
        <v>2.8815163920979256</v>
      </c>
      <c r="AU352" s="13">
        <f t="shared" si="63"/>
        <v>28208.165001041209</v>
      </c>
    </row>
    <row r="353" spans="1:47" x14ac:dyDescent="0.35">
      <c r="A353">
        <f t="shared" si="58"/>
        <v>330</v>
      </c>
      <c r="B353" s="13">
        <f t="shared" si="59"/>
        <v>27489.819055024374</v>
      </c>
      <c r="F353">
        <f t="shared" si="60"/>
        <v>330</v>
      </c>
      <c r="G353" s="13">
        <f t="shared" si="61"/>
        <v>28176.490556871417</v>
      </c>
      <c r="AQ353">
        <v>330</v>
      </c>
      <c r="AR353" s="14">
        <v>2.8081360208980195</v>
      </c>
      <c r="AS353" s="13">
        <f t="shared" si="62"/>
        <v>27489.819055024374</v>
      </c>
      <c r="AT353" s="9">
        <v>2.8782807888574284</v>
      </c>
      <c r="AU353" s="13">
        <f t="shared" si="63"/>
        <v>28176.490556871417</v>
      </c>
    </row>
    <row r="354" spans="1:47" x14ac:dyDescent="0.35">
      <c r="A354">
        <f t="shared" si="58"/>
        <v>331</v>
      </c>
      <c r="B354" s="13">
        <f t="shared" si="59"/>
        <v>27366.691199634992</v>
      </c>
      <c r="F354">
        <f t="shared" si="60"/>
        <v>331</v>
      </c>
      <c r="G354" s="13">
        <f t="shared" si="61"/>
        <v>28144.787304622303</v>
      </c>
      <c r="AQ354">
        <v>331</v>
      </c>
      <c r="AR354" s="14">
        <v>2.7955582820193907</v>
      </c>
      <c r="AS354" s="13">
        <f t="shared" si="62"/>
        <v>27366.691199634992</v>
      </c>
      <c r="AT354" s="9">
        <v>2.8750422428181781</v>
      </c>
      <c r="AU354" s="13">
        <f t="shared" si="63"/>
        <v>28144.787304622303</v>
      </c>
    </row>
    <row r="355" spans="1:47" x14ac:dyDescent="0.35">
      <c r="A355">
        <f t="shared" si="58"/>
        <v>332</v>
      </c>
      <c r="B355" s="13">
        <f t="shared" si="59"/>
        <v>27243.119882190716</v>
      </c>
      <c r="F355">
        <f t="shared" si="60"/>
        <v>332</v>
      </c>
      <c r="G355" s="13">
        <f t="shared" si="61"/>
        <v>28113.055305245111</v>
      </c>
      <c r="AQ355">
        <v>332</v>
      </c>
      <c r="AR355" s="14">
        <v>2.7829352426690583</v>
      </c>
      <c r="AS355" s="13">
        <f t="shared" si="62"/>
        <v>27243.119882190716</v>
      </c>
      <c r="AT355" s="9">
        <v>2.8718007602064572</v>
      </c>
      <c r="AU355" s="13">
        <f t="shared" si="63"/>
        <v>28113.055305245111</v>
      </c>
    </row>
    <row r="356" spans="1:47" x14ac:dyDescent="0.35">
      <c r="A356">
        <f t="shared" si="58"/>
        <v>333</v>
      </c>
      <c r="B356" s="13">
        <f t="shared" si="59"/>
        <v>27119.104848446852</v>
      </c>
      <c r="F356">
        <f t="shared" si="60"/>
        <v>333</v>
      </c>
      <c r="G356" s="13">
        <f t="shared" si="61"/>
        <v>28081.294619378805</v>
      </c>
      <c r="AQ356">
        <v>333</v>
      </c>
      <c r="AR356" s="14">
        <v>2.7702668768754544</v>
      </c>
      <c r="AS356" s="13">
        <f t="shared" si="62"/>
        <v>27119.104848446852</v>
      </c>
      <c r="AT356" s="9">
        <v>2.8685563472166491</v>
      </c>
      <c r="AU356" s="13">
        <f t="shared" si="63"/>
        <v>28081.294619378805</v>
      </c>
    </row>
    <row r="357" spans="1:47" x14ac:dyDescent="0.35">
      <c r="A357">
        <f t="shared" si="58"/>
        <v>334</v>
      </c>
      <c r="B357" s="13">
        <f t="shared" si="59"/>
        <v>26994.645844778293</v>
      </c>
      <c r="F357">
        <f t="shared" si="60"/>
        <v>334</v>
      </c>
      <c r="G357" s="13">
        <f t="shared" si="61"/>
        <v>28049.505307352694</v>
      </c>
      <c r="AQ357">
        <v>334</v>
      </c>
      <c r="AR357" s="14">
        <v>2.7575531587303042</v>
      </c>
      <c r="AS357" s="13">
        <f t="shared" si="62"/>
        <v>26994.645844778293</v>
      </c>
      <c r="AT357" s="9">
        <v>2.865309010011504</v>
      </c>
      <c r="AU357" s="13">
        <f t="shared" si="63"/>
        <v>28049.505307352694</v>
      </c>
    </row>
    <row r="358" spans="1:47" x14ac:dyDescent="0.35">
      <c r="A358">
        <f t="shared" si="58"/>
        <v>335</v>
      </c>
      <c r="B358" s="13">
        <f t="shared" si="59"/>
        <v>26869.742618176162</v>
      </c>
      <c r="F358">
        <f t="shared" si="60"/>
        <v>335</v>
      </c>
      <c r="G358" s="13">
        <f t="shared" si="61"/>
        <v>28017.687429188856</v>
      </c>
      <c r="AQ358">
        <v>335</v>
      </c>
      <c r="AR358" s="14">
        <v>2.7447940623882814</v>
      </c>
      <c r="AS358" s="13">
        <f t="shared" si="62"/>
        <v>26869.742618176162</v>
      </c>
      <c r="AT358" s="9">
        <v>2.8620587547223888</v>
      </c>
      <c r="AU358" s="13">
        <f t="shared" si="63"/>
        <v>28017.687429188856</v>
      </c>
    </row>
    <row r="359" spans="1:47" x14ac:dyDescent="0.35">
      <c r="A359">
        <f t="shared" si="58"/>
        <v>336</v>
      </c>
      <c r="B359" s="13">
        <f t="shared" si="59"/>
        <v>26744.394916244244</v>
      </c>
      <c r="F359">
        <f t="shared" si="60"/>
        <v>336</v>
      </c>
      <c r="G359" s="13">
        <f t="shared" si="61"/>
        <v>27985.841044604633</v>
      </c>
      <c r="AQ359">
        <v>336</v>
      </c>
      <c r="AR359" s="14">
        <v>2.7319895620666443</v>
      </c>
      <c r="AS359" s="13">
        <f t="shared" si="62"/>
        <v>26744.394916244244</v>
      </c>
      <c r="AT359" s="9">
        <v>2.8588055874495404</v>
      </c>
      <c r="AU359" s="13">
        <f t="shared" si="63"/>
        <v>27985.841044604633</v>
      </c>
    </row>
    <row r="360" spans="1:47" x14ac:dyDescent="0.35">
      <c r="A360">
        <f t="shared" si="58"/>
        <v>337</v>
      </c>
      <c r="B360" s="13">
        <f t="shared" si="59"/>
        <v>26618.602487196044</v>
      </c>
      <c r="F360">
        <f t="shared" si="60"/>
        <v>337</v>
      </c>
      <c r="G360" s="13">
        <f t="shared" si="61"/>
        <v>27953.966213015094</v>
      </c>
      <c r="AQ360">
        <v>337</v>
      </c>
      <c r="AR360" s="14">
        <v>2.7191396320449353</v>
      </c>
      <c r="AS360" s="13">
        <f t="shared" si="62"/>
        <v>26618.602487196044</v>
      </c>
      <c r="AT360" s="9">
        <v>2.8555495142623188</v>
      </c>
      <c r="AU360" s="13">
        <f t="shared" si="63"/>
        <v>27953.966213015094</v>
      </c>
    </row>
    <row r="361" spans="1:47" x14ac:dyDescent="0.35">
      <c r="A361">
        <f t="shared" si="58"/>
        <v>338</v>
      </c>
      <c r="B361" s="13">
        <f t="shared" si="59"/>
        <v>26492.365079851177</v>
      </c>
      <c r="F361">
        <f t="shared" si="60"/>
        <v>338</v>
      </c>
      <c r="G361" s="13">
        <f t="shared" si="61"/>
        <v>27922.062993535455</v>
      </c>
      <c r="AQ361">
        <v>338</v>
      </c>
      <c r="AR361" s="14">
        <v>2.7062442466646117</v>
      </c>
      <c r="AS361" s="13">
        <f t="shared" si="62"/>
        <v>26492.365079851177</v>
      </c>
      <c r="AT361" s="9">
        <v>2.8522905411994524</v>
      </c>
      <c r="AU361" s="13">
        <f t="shared" si="63"/>
        <v>27922.062993535455</v>
      </c>
    </row>
    <row r="362" spans="1:47" x14ac:dyDescent="0.35">
      <c r="A362">
        <f t="shared" si="58"/>
        <v>339</v>
      </c>
      <c r="B362" s="13">
        <f t="shared" si="59"/>
        <v>26365.682443632406</v>
      </c>
      <c r="F362">
        <f t="shared" si="60"/>
        <v>339</v>
      </c>
      <c r="G362" s="13">
        <f t="shared" si="61"/>
        <v>27890.131444983486</v>
      </c>
      <c r="AQ362">
        <v>339</v>
      </c>
      <c r="AR362" s="14">
        <v>2.6933033803287443</v>
      </c>
      <c r="AS362" s="13">
        <f t="shared" si="62"/>
        <v>26365.682443632406</v>
      </c>
      <c r="AT362" s="9">
        <v>2.8490286742692863</v>
      </c>
      <c r="AU362" s="13">
        <f t="shared" si="63"/>
        <v>27890.131444983486</v>
      </c>
    </row>
    <row r="363" spans="1:47" x14ac:dyDescent="0.35">
      <c r="A363">
        <f t="shared" si="58"/>
        <v>340</v>
      </c>
      <c r="B363" s="13">
        <f t="shared" si="59"/>
        <v>26238.554328562161</v>
      </c>
      <c r="F363">
        <f t="shared" si="60"/>
        <v>340</v>
      </c>
      <c r="G363" s="13">
        <f t="shared" si="61"/>
        <v>27858.171625881841</v>
      </c>
      <c r="AQ363">
        <v>340</v>
      </c>
      <c r="AR363" s="14">
        <v>2.6803170075016602</v>
      </c>
      <c r="AS363" s="13">
        <f t="shared" si="62"/>
        <v>26238.554328562161</v>
      </c>
      <c r="AT363" s="9">
        <v>2.8457639194500177</v>
      </c>
      <c r="AU363" s="13">
        <f t="shared" si="63"/>
        <v>27858.171625881841</v>
      </c>
    </row>
    <row r="364" spans="1:47" x14ac:dyDescent="0.35">
      <c r="A364">
        <f t="shared" si="58"/>
        <v>341</v>
      </c>
      <c r="B364" s="13">
        <f t="shared" si="59"/>
        <v>26110.980485259537</v>
      </c>
      <c r="F364">
        <f t="shared" si="60"/>
        <v>341</v>
      </c>
      <c r="G364" s="13">
        <f t="shared" si="61"/>
        <v>27826.183594460468</v>
      </c>
      <c r="AQ364">
        <v>341</v>
      </c>
      <c r="AR364" s="14">
        <v>2.6672851027086377</v>
      </c>
      <c r="AS364" s="13">
        <f t="shared" si="62"/>
        <v>26110.980485259537</v>
      </c>
      <c r="AT364" s="9">
        <v>2.8424962826899436</v>
      </c>
      <c r="AU364" s="13">
        <f t="shared" si="63"/>
        <v>27826.183594460468</v>
      </c>
    </row>
    <row r="365" spans="1:47" x14ac:dyDescent="0.35">
      <c r="A365">
        <f t="shared" si="58"/>
        <v>342</v>
      </c>
      <c r="B365" s="13">
        <f t="shared" si="59"/>
        <v>25982.960664936993</v>
      </c>
      <c r="F365">
        <f t="shared" si="60"/>
        <v>342</v>
      </c>
      <c r="G365" s="13">
        <f t="shared" si="61"/>
        <v>27794.167408658857</v>
      </c>
      <c r="AQ365">
        <v>342</v>
      </c>
      <c r="AR365" s="14">
        <v>2.6542076405355672</v>
      </c>
      <c r="AS365" s="13">
        <f t="shared" si="62"/>
        <v>25982.960664936993</v>
      </c>
      <c r="AT365" s="9">
        <v>2.8392257699076913</v>
      </c>
      <c r="AU365" s="13">
        <f t="shared" si="63"/>
        <v>27794.167408658857</v>
      </c>
    </row>
    <row r="366" spans="1:47" x14ac:dyDescent="0.35">
      <c r="A366">
        <f t="shared" si="58"/>
        <v>343</v>
      </c>
      <c r="B366" s="13">
        <f t="shared" si="59"/>
        <v>25854.494619397185</v>
      </c>
      <c r="F366">
        <f t="shared" si="60"/>
        <v>343</v>
      </c>
      <c r="G366" s="13">
        <f t="shared" si="61"/>
        <v>27762.123126128372</v>
      </c>
      <c r="AQ366">
        <v>343</v>
      </c>
      <c r="AR366" s="14">
        <v>2.6410845956286302</v>
      </c>
      <c r="AS366" s="13">
        <f t="shared" si="62"/>
        <v>25854.494619397185</v>
      </c>
      <c r="AT366" s="9">
        <v>2.8359523869924539</v>
      </c>
      <c r="AU366" s="13">
        <f t="shared" si="63"/>
        <v>27762.123126128372</v>
      </c>
    </row>
    <row r="367" spans="1:47" x14ac:dyDescent="0.35">
      <c r="A367">
        <f t="shared" si="58"/>
        <v>344</v>
      </c>
      <c r="B367" s="13">
        <f t="shared" si="59"/>
        <v>25725.582101030071</v>
      </c>
      <c r="F367">
        <f t="shared" si="60"/>
        <v>344</v>
      </c>
      <c r="G367" s="13">
        <f t="shared" si="61"/>
        <v>27730.050804234535</v>
      </c>
      <c r="AQ367">
        <v>344</v>
      </c>
      <c r="AR367" s="14">
        <v>2.6279159426940013</v>
      </c>
      <c r="AS367" s="13">
        <f t="shared" si="62"/>
        <v>25725.582101030071</v>
      </c>
      <c r="AT367" s="9">
        <v>2.8326761398042257</v>
      </c>
      <c r="AU367" s="13">
        <f t="shared" si="63"/>
        <v>27730.050804234535</v>
      </c>
    </row>
    <row r="368" spans="1:47" x14ac:dyDescent="0.35">
      <c r="A368">
        <f t="shared" si="58"/>
        <v>345</v>
      </c>
      <c r="B368" s="13">
        <f t="shared" si="59"/>
        <v>25596.222862809453</v>
      </c>
      <c r="F368">
        <f t="shared" si="60"/>
        <v>345</v>
      </c>
      <c r="G368" s="13">
        <f t="shared" si="61"/>
        <v>27697.950500059233</v>
      </c>
      <c r="AQ368">
        <v>345</v>
      </c>
      <c r="AR368" s="14">
        <v>2.6147016564974956</v>
      </c>
      <c r="AS368" s="13">
        <f t="shared" si="62"/>
        <v>25596.222862809453</v>
      </c>
      <c r="AT368" s="9">
        <v>2.8293970341740278</v>
      </c>
      <c r="AU368" s="13">
        <f t="shared" si="63"/>
        <v>27697.950500059233</v>
      </c>
    </row>
    <row r="369" spans="1:47" x14ac:dyDescent="0.35">
      <c r="A369">
        <f t="shared" si="58"/>
        <v>346</v>
      </c>
      <c r="B369" s="13">
        <f t="shared" si="59"/>
        <v>25466.41665829036</v>
      </c>
      <c r="F369">
        <f t="shared" si="60"/>
        <v>346</v>
      </c>
      <c r="G369" s="13">
        <f t="shared" si="61"/>
        <v>27665.822270402958</v>
      </c>
      <c r="AQ369">
        <v>346</v>
      </c>
      <c r="AR369" s="14">
        <v>2.6014417118643025</v>
      </c>
      <c r="AS369" s="13">
        <f t="shared" si="62"/>
        <v>25466.41665829036</v>
      </c>
      <c r="AT369" s="9">
        <v>2.826115075904136</v>
      </c>
      <c r="AU369" s="13">
        <f t="shared" si="63"/>
        <v>27665.822270402958</v>
      </c>
    </row>
    <row r="370" spans="1:47" x14ac:dyDescent="0.35">
      <c r="A370">
        <f t="shared" si="58"/>
        <v>347</v>
      </c>
      <c r="B370" s="13">
        <f t="shared" si="59"/>
        <v>25336.163241605595</v>
      </c>
      <c r="F370">
        <f t="shared" si="60"/>
        <v>347</v>
      </c>
      <c r="G370" s="13">
        <f t="shared" si="61"/>
        <v>27633.666171787005</v>
      </c>
      <c r="AQ370">
        <v>347</v>
      </c>
      <c r="AR370" s="14">
        <v>2.5881360836786311</v>
      </c>
      <c r="AS370" s="13">
        <f t="shared" si="62"/>
        <v>25336.163241605595</v>
      </c>
      <c r="AT370" s="9">
        <v>2.8228302707683053</v>
      </c>
      <c r="AU370" s="13">
        <f t="shared" si="63"/>
        <v>27633.666171787005</v>
      </c>
    </row>
    <row r="371" spans="1:47" x14ac:dyDescent="0.35">
      <c r="A371">
        <f t="shared" si="58"/>
        <v>348</v>
      </c>
      <c r="B371" s="13">
        <f t="shared" si="59"/>
        <v>25205.462367462838</v>
      </c>
      <c r="F371">
        <f t="shared" si="60"/>
        <v>348</v>
      </c>
      <c r="G371" s="13">
        <f t="shared" si="61"/>
        <v>27601.482260455661</v>
      </c>
      <c r="AQ371">
        <v>348</v>
      </c>
      <c r="AR371" s="14">
        <v>2.5747847468834171</v>
      </c>
      <c r="AS371" s="13">
        <f t="shared" si="62"/>
        <v>25205.462367462838</v>
      </c>
      <c r="AT371" s="9">
        <v>2.8195426245119934</v>
      </c>
      <c r="AU371" s="13">
        <f t="shared" si="63"/>
        <v>27601.482260455661</v>
      </c>
    </row>
    <row r="372" spans="1:47" x14ac:dyDescent="0.35">
      <c r="A372">
        <f t="shared" si="58"/>
        <v>349</v>
      </c>
      <c r="B372" s="13">
        <f t="shared" si="59"/>
        <v>25074.313791141787</v>
      </c>
      <c r="F372">
        <f t="shared" si="60"/>
        <v>349</v>
      </c>
      <c r="G372" s="13">
        <f t="shared" si="61"/>
        <v>27569.270592378292</v>
      </c>
      <c r="AQ372">
        <v>349</v>
      </c>
      <c r="AR372" s="14">
        <v>2.5613876764800261</v>
      </c>
      <c r="AS372" s="13">
        <f t="shared" si="62"/>
        <v>25074.313791141787</v>
      </c>
      <c r="AT372" s="9">
        <v>2.816252142852576</v>
      </c>
      <c r="AU372" s="13">
        <f t="shared" si="63"/>
        <v>27569.270592378292</v>
      </c>
    </row>
    <row r="373" spans="1:47" x14ac:dyDescent="0.35">
      <c r="A373">
        <f t="shared" si="58"/>
        <v>350</v>
      </c>
      <c r="B373" s="13">
        <f t="shared" si="59"/>
        <v>24942.717268491087</v>
      </c>
      <c r="F373">
        <f t="shared" si="60"/>
        <v>350</v>
      </c>
      <c r="G373" s="13">
        <f t="shared" si="61"/>
        <v>27537.031223251561</v>
      </c>
      <c r="AQ373">
        <v>350</v>
      </c>
      <c r="AR373" s="14">
        <v>2.5479448475279449</v>
      </c>
      <c r="AS373" s="13">
        <f t="shared" si="62"/>
        <v>24942.717268491087</v>
      </c>
      <c r="AT373" s="9">
        <v>2.8129588314795693</v>
      </c>
      <c r="AU373" s="13">
        <f t="shared" si="63"/>
        <v>27537.031223251561</v>
      </c>
    </row>
    <row r="374" spans="1:47" x14ac:dyDescent="0.35">
      <c r="A374">
        <f t="shared" si="58"/>
        <v>351</v>
      </c>
      <c r="B374" s="13">
        <f t="shared" si="59"/>
        <v>24810.672555925285</v>
      </c>
      <c r="F374">
        <f t="shared" si="60"/>
        <v>351</v>
      </c>
      <c r="G374" s="13">
        <f t="shared" si="61"/>
        <v>27504.764208501463</v>
      </c>
      <c r="AQ374">
        <v>351</v>
      </c>
      <c r="AR374" s="14">
        <v>2.5344562351444675</v>
      </c>
      <c r="AS374" s="13">
        <f t="shared" si="62"/>
        <v>24810.672555925285</v>
      </c>
      <c r="AT374" s="9">
        <v>2.8096626960548421</v>
      </c>
      <c r="AU374" s="13">
        <f t="shared" si="63"/>
        <v>27504.764208501463</v>
      </c>
    </row>
    <row r="375" spans="1:47" x14ac:dyDescent="0.35">
      <c r="A375">
        <f t="shared" si="58"/>
        <v>352</v>
      </c>
      <c r="B375" s="13">
        <f t="shared" si="59"/>
        <v>24678.179410422083</v>
      </c>
      <c r="F375">
        <f t="shared" si="60"/>
        <v>352</v>
      </c>
      <c r="G375" s="13">
        <f t="shared" si="61"/>
        <v>27472.469603285426</v>
      </c>
      <c r="AQ375">
        <v>352</v>
      </c>
      <c r="AR375" s="14">
        <v>2.520921814504415</v>
      </c>
      <c r="AS375" s="13">
        <f t="shared" si="62"/>
        <v>24678.179410422083</v>
      </c>
      <c r="AT375" s="9">
        <v>2.8063637422128287</v>
      </c>
      <c r="AU375" s="13">
        <f t="shared" si="63"/>
        <v>27472.469603285426</v>
      </c>
    </row>
    <row r="376" spans="1:47" x14ac:dyDescent="0.35">
      <c r="A376">
        <f t="shared" si="58"/>
        <v>353</v>
      </c>
      <c r="B376" s="13">
        <f t="shared" si="59"/>
        <v>24545.237589519373</v>
      </c>
      <c r="F376">
        <f t="shared" si="60"/>
        <v>353</v>
      </c>
      <c r="G376" s="13">
        <f t="shared" si="61"/>
        <v>27440.147462494398</v>
      </c>
      <c r="AQ376">
        <v>353</v>
      </c>
      <c r="AR376" s="14">
        <v>2.5073415608398339</v>
      </c>
      <c r="AS376" s="13">
        <f t="shared" si="62"/>
        <v>24545.237589519373</v>
      </c>
      <c r="AT376" s="9">
        <v>2.8030619755607402</v>
      </c>
      <c r="AU376" s="13">
        <f t="shared" si="63"/>
        <v>27440.147462494398</v>
      </c>
    </row>
    <row r="377" spans="1:47" x14ac:dyDescent="0.35">
      <c r="A377">
        <f t="shared" si="58"/>
        <v>354</v>
      </c>
      <c r="B377" s="13">
        <f t="shared" si="59"/>
        <v>24411.846851312308</v>
      </c>
      <c r="F377">
        <f t="shared" si="60"/>
        <v>354</v>
      </c>
      <c r="G377" s="13">
        <f t="shared" si="61"/>
        <v>27407.797840754869</v>
      </c>
      <c r="AQ377">
        <v>354</v>
      </c>
      <c r="AR377" s="14">
        <v>2.4937154494396943</v>
      </c>
      <c r="AS377" s="13">
        <f t="shared" si="62"/>
        <v>24411.846851312308</v>
      </c>
      <c r="AT377" s="9">
        <v>2.7997574016787747</v>
      </c>
      <c r="AU377" s="13">
        <f t="shared" si="63"/>
        <v>27407.797840754869</v>
      </c>
    </row>
    <row r="378" spans="1:47" x14ac:dyDescent="0.35">
      <c r="A378">
        <f t="shared" si="58"/>
        <v>355</v>
      </c>
      <c r="B378" s="13">
        <f t="shared" si="59"/>
        <v>24278.006954450444</v>
      </c>
      <c r="F378">
        <f t="shared" si="60"/>
        <v>355</v>
      </c>
      <c r="G378" s="13">
        <f t="shared" si="61"/>
        <v>27375.420792430858</v>
      </c>
      <c r="AQ378">
        <v>355</v>
      </c>
      <c r="AR378" s="14">
        <v>2.4800434556496018</v>
      </c>
      <c r="AS378" s="13">
        <f t="shared" si="62"/>
        <v>24278.006954450444</v>
      </c>
      <c r="AT378" s="9">
        <v>2.7964500261203167</v>
      </c>
      <c r="AU378" s="13">
        <f t="shared" si="63"/>
        <v>27375.420792430858</v>
      </c>
    </row>
    <row r="379" spans="1:47" x14ac:dyDescent="0.35">
      <c r="A379">
        <f t="shared" si="58"/>
        <v>356</v>
      </c>
      <c r="B379" s="13">
        <f t="shared" si="59"/>
        <v>24143.717658135116</v>
      </c>
      <c r="F379">
        <f t="shared" si="60"/>
        <v>356</v>
      </c>
      <c r="G379" s="13">
        <f t="shared" si="61"/>
        <v>27343.016371625967</v>
      </c>
      <c r="AQ379">
        <v>356</v>
      </c>
      <c r="AR379" s="14">
        <v>2.4663255548715242</v>
      </c>
      <c r="AS379" s="13">
        <f t="shared" si="62"/>
        <v>24143.717658135116</v>
      </c>
      <c r="AT379" s="9">
        <v>2.7931398544121504</v>
      </c>
      <c r="AU379" s="13">
        <f t="shared" si="63"/>
        <v>27343.016371625967</v>
      </c>
    </row>
    <row r="380" spans="1:47" x14ac:dyDescent="0.35">
      <c r="A380">
        <f t="shared" si="58"/>
        <v>357</v>
      </c>
      <c r="B380" s="13">
        <f t="shared" si="59"/>
        <v>24008.978722116284</v>
      </c>
      <c r="F380">
        <f t="shared" si="60"/>
        <v>357</v>
      </c>
      <c r="G380" s="13">
        <f t="shared" si="61"/>
        <v>27310.58463218531</v>
      </c>
      <c r="AQ380">
        <v>357</v>
      </c>
      <c r="AR380" s="14">
        <v>2.4525617225634759</v>
      </c>
      <c r="AS380" s="13">
        <f t="shared" si="62"/>
        <v>24008.978722116284</v>
      </c>
      <c r="AT380" s="9">
        <v>2.7898268920546538</v>
      </c>
      <c r="AU380" s="13">
        <f t="shared" si="63"/>
        <v>27310.58463218531</v>
      </c>
    </row>
    <row r="381" spans="1:47" x14ac:dyDescent="0.35">
      <c r="A381">
        <f t="shared" si="58"/>
        <v>358</v>
      </c>
      <c r="B381" s="13">
        <f t="shared" si="59"/>
        <v>23873.789906689966</v>
      </c>
      <c r="F381">
        <f t="shared" si="60"/>
        <v>358</v>
      </c>
      <c r="G381" s="13">
        <f t="shared" si="61"/>
        <v>27278.125627697482</v>
      </c>
      <c r="AQ381">
        <v>358</v>
      </c>
      <c r="AR381" s="14">
        <v>2.4387519342392494</v>
      </c>
      <c r="AS381" s="13">
        <f t="shared" si="62"/>
        <v>23873.789906689966</v>
      </c>
      <c r="AT381" s="9">
        <v>2.7865111445220014</v>
      </c>
      <c r="AU381" s="13">
        <f t="shared" si="63"/>
        <v>27278.125627697482</v>
      </c>
    </row>
    <row r="382" spans="1:47" x14ac:dyDescent="0.35">
      <c r="A382">
        <f t="shared" si="58"/>
        <v>359</v>
      </c>
      <c r="B382" s="13">
        <f t="shared" si="59"/>
        <v>23738.150972695548</v>
      </c>
      <c r="F382">
        <f t="shared" si="60"/>
        <v>359</v>
      </c>
      <c r="G382" s="13">
        <f t="shared" si="61"/>
        <v>27245.639411496533</v>
      </c>
      <c r="AQ382">
        <v>359</v>
      </c>
      <c r="AR382" s="14">
        <v>2.424896165468144</v>
      </c>
      <c r="AS382" s="13">
        <f t="shared" si="62"/>
        <v>23738.150972695548</v>
      </c>
      <c r="AT382" s="9">
        <v>2.7831926172623653</v>
      </c>
      <c r="AU382" s="13">
        <f t="shared" si="63"/>
        <v>27245.639411496533</v>
      </c>
    </row>
    <row r="383" spans="1:47" x14ac:dyDescent="0.35">
      <c r="A383">
        <f t="shared" si="58"/>
        <v>360</v>
      </c>
      <c r="B383" s="13">
        <f t="shared" si="59"/>
        <v>23602.061681512703</v>
      </c>
      <c r="F383">
        <f t="shared" si="60"/>
        <v>360</v>
      </c>
      <c r="G383" s="13">
        <f t="shared" si="61"/>
        <v>27213.126036663809</v>
      </c>
      <c r="AQ383">
        <v>360</v>
      </c>
      <c r="AR383" s="14">
        <v>2.4109943918746515</v>
      </c>
      <c r="AS383" s="13">
        <f t="shared" si="62"/>
        <v>23602.061681512703</v>
      </c>
      <c r="AT383" s="9">
        <v>2.7798713156981032</v>
      </c>
      <c r="AU383" s="13">
        <f t="shared" si="63"/>
        <v>27213.126036663809</v>
      </c>
    </row>
    <row r="384" spans="1:47" x14ac:dyDescent="0.35">
      <c r="A384">
        <f t="shared" si="58"/>
        <v>361</v>
      </c>
      <c r="B384" s="13">
        <f t="shared" si="59"/>
        <v>23465.521795059183</v>
      </c>
      <c r="F384">
        <f t="shared" si="60"/>
        <v>361</v>
      </c>
      <c r="G384" s="13">
        <f t="shared" si="61"/>
        <v>27180.585556029917</v>
      </c>
      <c r="AQ384">
        <v>361</v>
      </c>
      <c r="AR384" s="14">
        <v>2.397046589138228</v>
      </c>
      <c r="AS384" s="13">
        <f t="shared" si="62"/>
        <v>23465.521795059183</v>
      </c>
      <c r="AT384" s="9">
        <v>2.7765472452259603</v>
      </c>
      <c r="AU384" s="13">
        <f t="shared" si="63"/>
        <v>27180.585556029917</v>
      </c>
    </row>
    <row r="385" spans="1:47" x14ac:dyDescent="0.35">
      <c r="A385">
        <f t="shared" si="58"/>
        <v>362</v>
      </c>
      <c r="B385" s="13">
        <f t="shared" si="59"/>
        <v>23328.531075787498</v>
      </c>
      <c r="F385">
        <f t="shared" si="60"/>
        <v>362</v>
      </c>
      <c r="G385" s="13">
        <f t="shared" si="61"/>
        <v>27148.018022176548</v>
      </c>
      <c r="AQ385">
        <v>362</v>
      </c>
      <c r="AR385" s="14">
        <v>2.3830527329929567</v>
      </c>
      <c r="AS385" s="13">
        <f t="shared" si="62"/>
        <v>23328.531075787498</v>
      </c>
      <c r="AT385" s="9">
        <v>2.7732204112172529</v>
      </c>
      <c r="AU385" s="13">
        <f t="shared" si="63"/>
        <v>27148.018022176548</v>
      </c>
    </row>
    <row r="386" spans="1:47" x14ac:dyDescent="0.35">
      <c r="A386">
        <f t="shared" si="58"/>
        <v>363</v>
      </c>
      <c r="B386" s="13">
        <f t="shared" si="59"/>
        <v>23191.089286682851</v>
      </c>
      <c r="F386">
        <f t="shared" si="60"/>
        <v>363</v>
      </c>
      <c r="G386" s="13">
        <f t="shared" si="61"/>
        <v>27115.423487438409</v>
      </c>
      <c r="AQ386">
        <v>363</v>
      </c>
      <c r="AR386" s="14">
        <v>2.3690127992273364</v>
      </c>
      <c r="AS386" s="13">
        <f t="shared" si="62"/>
        <v>23191.089286682851</v>
      </c>
      <c r="AT386" s="9">
        <v>2.7698908190180691</v>
      </c>
      <c r="AU386" s="13">
        <f t="shared" si="63"/>
        <v>27115.423487438409</v>
      </c>
    </row>
    <row r="387" spans="1:47" x14ac:dyDescent="0.35">
      <c r="A387">
        <f t="shared" si="58"/>
        <v>364</v>
      </c>
      <c r="B387" s="13">
        <f t="shared" si="59"/>
        <v>23053.196191260024</v>
      </c>
      <c r="F387">
        <f t="shared" si="60"/>
        <v>364</v>
      </c>
      <c r="G387" s="13">
        <f t="shared" si="61"/>
        <v>27082.80200390493</v>
      </c>
      <c r="AQ387">
        <v>364</v>
      </c>
      <c r="AR387" s="14">
        <v>2.3549267636839635</v>
      </c>
      <c r="AS387" s="13">
        <f t="shared" si="62"/>
        <v>23053.196191260024</v>
      </c>
      <c r="AT387" s="9">
        <v>2.7665584739494409</v>
      </c>
      <c r="AU387" s="13">
        <f t="shared" si="63"/>
        <v>27082.80200390493</v>
      </c>
    </row>
    <row r="388" spans="1:47" x14ac:dyDescent="0.35">
      <c r="A388">
        <f t="shared" si="58"/>
        <v>365</v>
      </c>
      <c r="B388" s="13">
        <f t="shared" si="59"/>
        <v>22914.851553560929</v>
      </c>
      <c r="F388">
        <f t="shared" si="60"/>
        <v>365</v>
      </c>
      <c r="G388" s="13">
        <f t="shared" si="61"/>
        <v>27050.153623422226</v>
      </c>
      <c r="AQ388">
        <v>365</v>
      </c>
      <c r="AR388" s="14">
        <v>2.3407946022592814</v>
      </c>
      <c r="AS388" s="13">
        <f t="shared" si="62"/>
        <v>22914.851553560929</v>
      </c>
      <c r="AT388" s="9">
        <v>2.7632233813075451</v>
      </c>
      <c r="AU388" s="13">
        <f t="shared" si="63"/>
        <v>27050.153623422226</v>
      </c>
    </row>
    <row r="389" spans="1:47" x14ac:dyDescent="0.35">
      <c r="A389">
        <f t="shared" si="58"/>
        <v>366</v>
      </c>
      <c r="B389" s="13">
        <f t="shared" si="59"/>
        <v>22776.055138152078</v>
      </c>
      <c r="F389">
        <f t="shared" si="60"/>
        <v>366</v>
      </c>
      <c r="G389" s="13">
        <f t="shared" si="61"/>
        <v>27017.478397594838</v>
      </c>
      <c r="AQ389">
        <v>366</v>
      </c>
      <c r="AR389" s="14">
        <v>2.3266162909033214</v>
      </c>
      <c r="AS389" s="13">
        <f t="shared" si="62"/>
        <v>22776.055138152078</v>
      </c>
      <c r="AT389" s="9">
        <v>2.7598855463638809</v>
      </c>
      <c r="AU389" s="13">
        <f t="shared" si="63"/>
        <v>27017.478397594838</v>
      </c>
    </row>
    <row r="390" spans="1:47" x14ac:dyDescent="0.35">
      <c r="A390">
        <f t="shared" si="58"/>
        <v>367</v>
      </c>
      <c r="B390" s="13">
        <f t="shared" si="59"/>
        <v>22636.80671012164</v>
      </c>
      <c r="F390">
        <f t="shared" si="60"/>
        <v>367</v>
      </c>
      <c r="G390" s="13">
        <f t="shared" si="61"/>
        <v>26984.776377787479</v>
      </c>
      <c r="AQ390">
        <v>367</v>
      </c>
      <c r="AR390" s="14">
        <v>2.3123918056194062</v>
      </c>
      <c r="AS390" s="13">
        <f t="shared" si="62"/>
        <v>22636.80671012164</v>
      </c>
      <c r="AT390" s="9">
        <v>2.7565449743654491</v>
      </c>
      <c r="AU390" s="13">
        <f t="shared" si="63"/>
        <v>26984.776377787479</v>
      </c>
    </row>
    <row r="391" spans="1:47" x14ac:dyDescent="0.35">
      <c r="A391">
        <f t="shared" si="58"/>
        <v>368</v>
      </c>
      <c r="B391" s="13">
        <f t="shared" si="59"/>
        <v>22497.106035077366</v>
      </c>
      <c r="F391">
        <f t="shared" si="60"/>
        <v>368</v>
      </c>
      <c r="G391" s="13">
        <f t="shared" si="61"/>
        <v>26952.047615126859</v>
      </c>
      <c r="AQ391">
        <v>368</v>
      </c>
      <c r="AR391" s="14">
        <v>2.2981211224639311</v>
      </c>
      <c r="AS391" s="13">
        <f t="shared" si="62"/>
        <v>22497.106035077366</v>
      </c>
      <c r="AT391" s="9">
        <v>2.7532016705349385</v>
      </c>
      <c r="AU391" s="13">
        <f t="shared" si="63"/>
        <v>26952.047615126859</v>
      </c>
    </row>
    <row r="392" spans="1:47" x14ac:dyDescent="0.35">
      <c r="A392">
        <f t="shared" si="58"/>
        <v>369</v>
      </c>
      <c r="B392" s="13">
        <f t="shared" si="59"/>
        <v>22356.952879143631</v>
      </c>
      <c r="F392">
        <f t="shared" si="60"/>
        <v>369</v>
      </c>
      <c r="G392" s="13">
        <f t="shared" si="61"/>
        <v>26919.29216050341</v>
      </c>
      <c r="AQ392">
        <v>369</v>
      </c>
      <c r="AR392" s="14">
        <v>2.2838042175460678</v>
      </c>
      <c r="AS392" s="13">
        <f t="shared" si="62"/>
        <v>22356.952879143631</v>
      </c>
      <c r="AT392" s="9">
        <v>2.7498556400709009</v>
      </c>
      <c r="AU392" s="13">
        <f t="shared" si="63"/>
        <v>26919.29216050341</v>
      </c>
    </row>
    <row r="393" spans="1:47" x14ac:dyDescent="0.35">
      <c r="A393">
        <f t="shared" si="58"/>
        <v>370</v>
      </c>
      <c r="B393" s="13">
        <f t="shared" si="59"/>
        <v>22216.347008959041</v>
      </c>
      <c r="F393">
        <f t="shared" si="60"/>
        <v>370</v>
      </c>
      <c r="G393" s="13">
        <f t="shared" si="61"/>
        <v>26886.510064572987</v>
      </c>
      <c r="AQ393">
        <v>370</v>
      </c>
      <c r="AR393" s="14">
        <v>2.269441067027516</v>
      </c>
      <c r="AS393" s="13">
        <f t="shared" si="62"/>
        <v>22216.347008959041</v>
      </c>
      <c r="AT393" s="9">
        <v>2.7465068881479255</v>
      </c>
      <c r="AU393" s="13">
        <f t="shared" si="63"/>
        <v>26886.510064572987</v>
      </c>
    </row>
    <row r="394" spans="1:47" x14ac:dyDescent="0.35">
      <c r="A394">
        <f t="shared" si="58"/>
        <v>371</v>
      </c>
      <c r="B394" s="13">
        <f t="shared" si="59"/>
        <v>22075.288191673837</v>
      </c>
      <c r="F394">
        <f t="shared" si="60"/>
        <v>371</v>
      </c>
      <c r="G394" s="13">
        <f t="shared" si="61"/>
        <v>26853.701377758636</v>
      </c>
      <c r="AQ394">
        <v>371</v>
      </c>
      <c r="AR394" s="14">
        <v>2.2550316471222418</v>
      </c>
      <c r="AS394" s="13">
        <f t="shared" si="62"/>
        <v>22075.288191673837</v>
      </c>
      <c r="AT394" s="9">
        <v>2.7431554199168202</v>
      </c>
      <c r="AU394" s="13">
        <f t="shared" si="63"/>
        <v>26853.701377758636</v>
      </c>
    </row>
    <row r="395" spans="1:47" x14ac:dyDescent="0.35">
      <c r="A395">
        <f t="shared" si="58"/>
        <v>372</v>
      </c>
      <c r="B395" s="13">
        <f t="shared" si="59"/>
        <v>21933.77619494759</v>
      </c>
      <c r="F395">
        <f t="shared" si="60"/>
        <v>372</v>
      </c>
      <c r="G395" s="13">
        <f t="shared" si="61"/>
        <v>26820.866150252248</v>
      </c>
      <c r="AQ395">
        <v>372</v>
      </c>
      <c r="AR395" s="14">
        <v>2.2405759340962388</v>
      </c>
      <c r="AS395" s="13">
        <f t="shared" si="62"/>
        <v>21933.77619494759</v>
      </c>
      <c r="AT395" s="9">
        <v>2.7398012405047805</v>
      </c>
      <c r="AU395" s="13">
        <f t="shared" si="63"/>
        <v>26820.866150252248</v>
      </c>
    </row>
    <row r="396" spans="1:47" x14ac:dyDescent="0.35">
      <c r="A396">
        <f t="shared" si="58"/>
        <v>373</v>
      </c>
      <c r="B396" s="13">
        <f t="shared" si="59"/>
        <v>21791.810786946422</v>
      </c>
      <c r="F396">
        <f t="shared" si="60"/>
        <v>373</v>
      </c>
      <c r="G396" s="13">
        <f t="shared" si="61"/>
        <v>26788.004432016241</v>
      </c>
      <c r="AQ396">
        <v>373</v>
      </c>
      <c r="AR396" s="14">
        <v>2.2260739042672464</v>
      </c>
      <c r="AS396" s="13">
        <f t="shared" si="62"/>
        <v>21791.810786946422</v>
      </c>
      <c r="AT396" s="9">
        <v>2.7364443550155588</v>
      </c>
      <c r="AU396" s="13">
        <f t="shared" si="63"/>
        <v>26788.004432016241</v>
      </c>
    </row>
    <row r="397" spans="1:47" x14ac:dyDescent="0.35">
      <c r="A397">
        <f t="shared" si="58"/>
        <v>374</v>
      </c>
      <c r="B397" s="13">
        <f t="shared" si="59"/>
        <v>21649.391736340884</v>
      </c>
      <c r="F397">
        <f t="shared" si="60"/>
        <v>374</v>
      </c>
      <c r="G397" s="13">
        <f t="shared" si="61"/>
        <v>26755.116272785261</v>
      </c>
      <c r="AQ397">
        <v>374</v>
      </c>
      <c r="AR397" s="14">
        <v>2.2115255340045326</v>
      </c>
      <c r="AS397" s="13">
        <f t="shared" si="62"/>
        <v>21649.391736340884</v>
      </c>
      <c r="AT397" s="9">
        <v>2.7330847685296424</v>
      </c>
      <c r="AU397" s="13">
        <f t="shared" si="63"/>
        <v>26755.116272785261</v>
      </c>
    </row>
    <row r="398" spans="1:47" x14ac:dyDescent="0.35">
      <c r="A398">
        <f t="shared" si="58"/>
        <v>375</v>
      </c>
      <c r="B398" s="13">
        <f t="shared" si="59"/>
        <v>21506.51881230322</v>
      </c>
      <c r="F398">
        <f t="shared" si="60"/>
        <v>375</v>
      </c>
      <c r="G398" s="13">
        <f t="shared" si="61"/>
        <v>26722.201722067752</v>
      </c>
      <c r="AQ398">
        <v>375</v>
      </c>
      <c r="AR398" s="14">
        <v>2.1969307997286132</v>
      </c>
      <c r="AS398" s="13">
        <f t="shared" si="62"/>
        <v>21506.51881230322</v>
      </c>
      <c r="AT398" s="9">
        <v>2.7297224861044107</v>
      </c>
      <c r="AU398" s="13">
        <f t="shared" si="63"/>
        <v>26722.201722067752</v>
      </c>
    </row>
    <row r="399" spans="1:47" x14ac:dyDescent="0.35">
      <c r="A399">
        <f t="shared" si="58"/>
        <v>376</v>
      </c>
      <c r="B399" s="13">
        <f t="shared" si="59"/>
        <v>21363.191784505063</v>
      </c>
      <c r="F399">
        <f t="shared" si="60"/>
        <v>376</v>
      </c>
      <c r="G399" s="13">
        <f t="shared" si="61"/>
        <v>26689.26082914765</v>
      </c>
      <c r="AQ399">
        <v>376</v>
      </c>
      <c r="AR399" s="14">
        <v>2.1822896779110179</v>
      </c>
      <c r="AS399" s="13">
        <f t="shared" si="62"/>
        <v>21363.191784505063</v>
      </c>
      <c r="AT399" s="9">
        <v>2.7263575127743089</v>
      </c>
      <c r="AU399" s="13">
        <f t="shared" si="63"/>
        <v>26689.26082914765</v>
      </c>
    </row>
    <row r="400" spans="1:47" x14ac:dyDescent="0.35">
      <c r="A400">
        <f t="shared" si="58"/>
        <v>377</v>
      </c>
      <c r="B400" s="13">
        <f t="shared" si="59"/>
        <v>21219.410423115074</v>
      </c>
      <c r="F400">
        <f t="shared" si="60"/>
        <v>377</v>
      </c>
      <c r="G400" s="13">
        <f t="shared" si="61"/>
        <v>26656.293643085981</v>
      </c>
      <c r="AQ400">
        <v>377</v>
      </c>
      <c r="AR400" s="14">
        <v>2.1676021450740497</v>
      </c>
      <c r="AS400" s="13">
        <f t="shared" si="62"/>
        <v>21219.410423115074</v>
      </c>
      <c r="AT400" s="9">
        <v>2.7229898535510122</v>
      </c>
      <c r="AU400" s="13">
        <f t="shared" si="63"/>
        <v>26656.293643085981</v>
      </c>
    </row>
    <row r="401" spans="1:47" x14ac:dyDescent="0.35">
      <c r="A401">
        <f t="shared" si="58"/>
        <v>378</v>
      </c>
      <c r="B401" s="13">
        <f t="shared" si="59"/>
        <v>21075.174498796394</v>
      </c>
      <c r="F401">
        <f t="shared" si="60"/>
        <v>378</v>
      </c>
      <c r="G401" s="13">
        <f t="shared" si="61"/>
        <v>26623.30021272245</v>
      </c>
      <c r="AQ401">
        <v>378</v>
      </c>
      <c r="AR401" s="14">
        <v>2.152868177790523</v>
      </c>
      <c r="AS401" s="13">
        <f t="shared" si="62"/>
        <v>21075.174498796394</v>
      </c>
      <c r="AT401" s="9">
        <v>2.7196195134235861</v>
      </c>
      <c r="AU401" s="13">
        <f t="shared" si="63"/>
        <v>26623.30021272245</v>
      </c>
    </row>
    <row r="402" spans="1:47" x14ac:dyDescent="0.35">
      <c r="A402">
        <f t="shared" si="58"/>
        <v>379</v>
      </c>
      <c r="B402" s="13">
        <f t="shared" si="59"/>
        <v>20930.483782704574</v>
      </c>
      <c r="F402">
        <f t="shared" si="60"/>
        <v>379</v>
      </c>
      <c r="G402" s="13">
        <f t="shared" si="61"/>
        <v>26590.28058667701</v>
      </c>
      <c r="AQ402">
        <v>379</v>
      </c>
      <c r="AR402" s="14">
        <v>2.1380877526835516</v>
      </c>
      <c r="AS402" s="13">
        <f t="shared" si="62"/>
        <v>20930.483782704574</v>
      </c>
      <c r="AT402" s="9">
        <v>2.7162464973586502</v>
      </c>
      <c r="AU402" s="13">
        <f t="shared" si="63"/>
        <v>26590.28058667701</v>
      </c>
    </row>
    <row r="403" spans="1:47" x14ac:dyDescent="0.35">
      <c r="A403">
        <f t="shared" si="58"/>
        <v>380</v>
      </c>
      <c r="B403" s="13">
        <f t="shared" si="59"/>
        <v>20785.338046484765</v>
      </c>
      <c r="F403">
        <f t="shared" si="60"/>
        <v>380</v>
      </c>
      <c r="G403" s="13">
        <f t="shared" si="61"/>
        <v>26557.234813351472</v>
      </c>
      <c r="AQ403">
        <v>380</v>
      </c>
      <c r="AR403" s="14">
        <v>2.1232608464262657</v>
      </c>
      <c r="AS403" s="13">
        <f t="shared" si="62"/>
        <v>20785.338046484765</v>
      </c>
      <c r="AT403" s="9">
        <v>2.7128708103005383</v>
      </c>
      <c r="AU403" s="13">
        <f t="shared" si="63"/>
        <v>26557.234813351472</v>
      </c>
    </row>
    <row r="404" spans="1:47" x14ac:dyDescent="0.35">
      <c r="A404">
        <f t="shared" si="58"/>
        <v>381</v>
      </c>
      <c r="B404" s="13">
        <f t="shared" si="59"/>
        <v>20639.737062269844</v>
      </c>
      <c r="F404">
        <f t="shared" si="60"/>
        <v>381</v>
      </c>
      <c r="G404" s="13">
        <f t="shared" si="61"/>
        <v>26524.162940930983</v>
      </c>
      <c r="AQ404">
        <v>381</v>
      </c>
      <c r="AR404" s="14">
        <v>2.1083874357416148</v>
      </c>
      <c r="AS404" s="13">
        <f t="shared" si="62"/>
        <v>20639.737062269844</v>
      </c>
      <c r="AT404" s="9">
        <v>2.7094924571714536</v>
      </c>
      <c r="AU404" s="13">
        <f t="shared" si="63"/>
        <v>26524.162940930983</v>
      </c>
    </row>
    <row r="405" spans="1:47" x14ac:dyDescent="0.35">
      <c r="A405">
        <f t="shared" si="58"/>
        <v>382</v>
      </c>
      <c r="B405" s="13">
        <f t="shared" si="59"/>
        <v>20493.680602677832</v>
      </c>
      <c r="F405">
        <f t="shared" si="60"/>
        <v>382</v>
      </c>
      <c r="G405" s="13">
        <f t="shared" si="61"/>
        <v>26491.065017385645</v>
      </c>
      <c r="AQ405">
        <v>382</v>
      </c>
      <c r="AR405" s="14">
        <v>2.0934674974021075</v>
      </c>
      <c r="AS405" s="13">
        <f t="shared" si="62"/>
        <v>20493.680602677832</v>
      </c>
      <c r="AT405" s="9">
        <v>2.7061114428716304</v>
      </c>
      <c r="AU405" s="13">
        <f t="shared" si="63"/>
        <v>26491.065017385645</v>
      </c>
    </row>
    <row r="406" spans="1:47" x14ac:dyDescent="0.35">
      <c r="A406">
        <f t="shared" si="58"/>
        <v>383</v>
      </c>
      <c r="B406" s="13">
        <f t="shared" si="59"/>
        <v>20347.168440809583</v>
      </c>
      <c r="F406">
        <f t="shared" si="60"/>
        <v>383</v>
      </c>
      <c r="G406" s="13">
        <f t="shared" si="61"/>
        <v>26457.941090471984</v>
      </c>
      <c r="AQ406">
        <v>383</v>
      </c>
      <c r="AR406" s="14">
        <v>2.0785010082295763</v>
      </c>
      <c r="AS406" s="13">
        <f t="shared" si="62"/>
        <v>20347.168440809583</v>
      </c>
      <c r="AT406" s="9">
        <v>2.7027277722794865</v>
      </c>
      <c r="AU406" s="13">
        <f t="shared" si="63"/>
        <v>26457.941090471984</v>
      </c>
    </row>
    <row r="407" spans="1:47" x14ac:dyDescent="0.35">
      <c r="A407">
        <f t="shared" si="58"/>
        <v>384</v>
      </c>
      <c r="B407" s="13">
        <f t="shared" si="59"/>
        <v>20200.200350246618</v>
      </c>
      <c r="F407">
        <f t="shared" si="60"/>
        <v>384</v>
      </c>
      <c r="G407" s="13">
        <f t="shared" si="61"/>
        <v>26424.791207734444</v>
      </c>
      <c r="AQ407">
        <v>384</v>
      </c>
      <c r="AR407" s="14">
        <v>2.0634879450949524</v>
      </c>
      <c r="AS407" s="13">
        <f t="shared" si="62"/>
        <v>20200.200350246618</v>
      </c>
      <c r="AT407" s="9">
        <v>2.699341450251775</v>
      </c>
      <c r="AU407" s="13">
        <f t="shared" si="63"/>
        <v>26424.791207734444</v>
      </c>
    </row>
    <row r="408" spans="1:47" x14ac:dyDescent="0.35">
      <c r="A408">
        <f t="shared" ref="A408:A471" si="64">AQ408*B$16*B$17</f>
        <v>385</v>
      </c>
      <c r="B408" s="13">
        <f t="shared" ref="B408:B471" si="65">IF(B$14="DDC-1T+",AS408*B$15*B$17^2,AU408*B$15*B$17^2)</f>
        <v>20052.776105048808</v>
      </c>
      <c r="F408">
        <f t="shared" ref="F408:F471" si="66">AQ408*G$16*G$17</f>
        <v>385</v>
      </c>
      <c r="G408" s="13">
        <f t="shared" ref="G408:G471" si="67">IF(G$14="DDC-1T+",AS408*G$15*G$17^2,AU408*G$15*G$17^2)</f>
        <v>26391.615416506946</v>
      </c>
      <c r="AQ408">
        <v>385</v>
      </c>
      <c r="AR408" s="14">
        <v>2.0484282849180331</v>
      </c>
      <c r="AS408" s="13">
        <f t="shared" ref="AS408:AS471" si="68">AR408*998.2*9.807</f>
        <v>20052.776105048808</v>
      </c>
      <c r="AT408" s="9">
        <v>2.6959524816237437</v>
      </c>
      <c r="AU408" s="13">
        <f t="shared" ref="AU408:AU471" si="69">AT408*998.2*9.807</f>
        <v>26391.615416506946</v>
      </c>
    </row>
    <row r="409" spans="1:47" x14ac:dyDescent="0.35">
      <c r="A409">
        <f t="shared" si="64"/>
        <v>386</v>
      </c>
      <c r="B409" s="13">
        <f t="shared" si="65"/>
        <v>19904.895479752115</v>
      </c>
      <c r="F409">
        <f t="shared" si="66"/>
        <v>386</v>
      </c>
      <c r="G409" s="13">
        <f t="shared" si="67"/>
        <v>26358.413763914294</v>
      </c>
      <c r="AQ409">
        <v>386</v>
      </c>
      <c r="AR409" s="14">
        <v>2.033322004667248</v>
      </c>
      <c r="AS409" s="13">
        <f t="shared" si="68"/>
        <v>19904.895479752115</v>
      </c>
      <c r="AT409" s="9">
        <v>2.6925608712092792</v>
      </c>
      <c r="AU409" s="13">
        <f t="shared" si="69"/>
        <v>26358.413763914294</v>
      </c>
    </row>
    <row r="410" spans="1:47" x14ac:dyDescent="0.35">
      <c r="A410">
        <f t="shared" si="64"/>
        <v>387</v>
      </c>
      <c r="B410" s="13">
        <f t="shared" si="65"/>
        <v>19756.558249366364</v>
      </c>
      <c r="F410">
        <f t="shared" si="66"/>
        <v>387</v>
      </c>
      <c r="G410" s="13">
        <f t="shared" si="67"/>
        <v>26325.186296873668</v>
      </c>
      <c r="AQ410">
        <v>387</v>
      </c>
      <c r="AR410" s="14">
        <v>2.0181690813594337</v>
      </c>
      <c r="AS410" s="13">
        <f t="shared" si="68"/>
        <v>19756.558249366364</v>
      </c>
      <c r="AT410" s="9">
        <v>2.6891666238010581</v>
      </c>
      <c r="AU410" s="13">
        <f t="shared" si="69"/>
        <v>26325.186296873668</v>
      </c>
    </row>
    <row r="411" spans="1:47" x14ac:dyDescent="0.35">
      <c r="A411">
        <f t="shared" si="64"/>
        <v>388</v>
      </c>
      <c r="B411" s="13">
        <f t="shared" si="65"/>
        <v>19607.764189372992</v>
      </c>
      <c r="F411">
        <f t="shared" si="66"/>
        <v>388</v>
      </c>
      <c r="G411" s="13">
        <f t="shared" si="67"/>
        <v>26291.933062096072</v>
      </c>
      <c r="AQ411">
        <v>388</v>
      </c>
      <c r="AR411" s="14">
        <v>2.0029694920596026</v>
      </c>
      <c r="AS411" s="13">
        <f t="shared" si="68"/>
        <v>19607.764189372992</v>
      </c>
      <c r="AT411" s="9">
        <v>2.6857697441706962</v>
      </c>
      <c r="AU411" s="13">
        <f t="shared" si="69"/>
        <v>26291.933062096072</v>
      </c>
    </row>
    <row r="412" spans="1:47" x14ac:dyDescent="0.35">
      <c r="A412">
        <f t="shared" si="64"/>
        <v>389</v>
      </c>
      <c r="B412" s="13">
        <f t="shared" si="65"/>
        <v>19458.513075722869</v>
      </c>
      <c r="F412">
        <f t="shared" si="66"/>
        <v>389</v>
      </c>
      <c r="G412" s="13">
        <f t="shared" si="67"/>
        <v>26258.654106087783</v>
      </c>
      <c r="AQ412">
        <v>389</v>
      </c>
      <c r="AR412" s="14">
        <v>1.9877232138807197</v>
      </c>
      <c r="AS412" s="13">
        <f t="shared" si="68"/>
        <v>19458.513075722869</v>
      </c>
      <c r="AT412" s="9">
        <v>2.6823702370688962</v>
      </c>
      <c r="AU412" s="13">
        <f t="shared" si="69"/>
        <v>26258.654106087783</v>
      </c>
    </row>
    <row r="413" spans="1:47" x14ac:dyDescent="0.35">
      <c r="A413">
        <f t="shared" si="64"/>
        <v>390</v>
      </c>
      <c r="B413" s="13">
        <f t="shared" si="65"/>
        <v>19308.804684834042</v>
      </c>
      <c r="F413">
        <f t="shared" si="66"/>
        <v>390</v>
      </c>
      <c r="G413" s="13">
        <f t="shared" si="67"/>
        <v>26225.349475151732</v>
      </c>
      <c r="AQ413">
        <v>390</v>
      </c>
      <c r="AR413" s="14">
        <v>1.9724302239834741</v>
      </c>
      <c r="AS413" s="13">
        <f t="shared" si="68"/>
        <v>19308.804684834042</v>
      </c>
      <c r="AT413" s="9">
        <v>2.6789681072255878</v>
      </c>
      <c r="AU413" s="13">
        <f t="shared" si="69"/>
        <v>26225.349475151732</v>
      </c>
    </row>
    <row r="414" spans="1:47" x14ac:dyDescent="0.35">
      <c r="A414">
        <f t="shared" si="64"/>
        <v>391</v>
      </c>
      <c r="B414" s="13">
        <f t="shared" si="65"/>
        <v>19158.638793589827</v>
      </c>
      <c r="F414">
        <f t="shared" si="66"/>
        <v>391</v>
      </c>
      <c r="G414" s="13">
        <f t="shared" si="67"/>
        <v>26192.019215388958</v>
      </c>
      <c r="AQ414">
        <v>391</v>
      </c>
      <c r="AR414" s="14">
        <v>1.9570904995760827</v>
      </c>
      <c r="AS414" s="13">
        <f t="shared" si="68"/>
        <v>19158.638793589827</v>
      </c>
      <c r="AT414" s="9">
        <v>2.6755633593500785</v>
      </c>
      <c r="AU414" s="13">
        <f t="shared" si="69"/>
        <v>26192.019215388958</v>
      </c>
    </row>
    <row r="415" spans="1:47" x14ac:dyDescent="0.35">
      <c r="A415">
        <f t="shared" si="64"/>
        <v>392</v>
      </c>
      <c r="B415" s="13">
        <f t="shared" si="65"/>
        <v>19008.015179336311</v>
      </c>
      <c r="F415">
        <f t="shared" si="66"/>
        <v>392</v>
      </c>
      <c r="G415" s="13">
        <f t="shared" si="67"/>
        <v>26158.66337269999</v>
      </c>
      <c r="AQ415">
        <v>392</v>
      </c>
      <c r="AR415" s="14">
        <v>1.9417040179140348</v>
      </c>
      <c r="AS415" s="13">
        <f t="shared" si="68"/>
        <v>19008.015179336311</v>
      </c>
      <c r="AT415" s="9">
        <v>2.672155998131192</v>
      </c>
      <c r="AU415" s="13">
        <f t="shared" si="69"/>
        <v>26158.66337269999</v>
      </c>
    </row>
    <row r="416" spans="1:47" x14ac:dyDescent="0.35">
      <c r="A416">
        <f t="shared" si="64"/>
        <v>393</v>
      </c>
      <c r="B416" s="13">
        <f t="shared" si="65"/>
        <v>18856.933619880368</v>
      </c>
      <c r="F416">
        <f t="shared" si="66"/>
        <v>393</v>
      </c>
      <c r="G416" s="13">
        <f t="shared" si="67"/>
        <v>26125.281992786182</v>
      </c>
      <c r="AQ416">
        <v>393</v>
      </c>
      <c r="AR416" s="14">
        <v>1.9262707562998904</v>
      </c>
      <c r="AS416" s="13">
        <f t="shared" si="68"/>
        <v>18856.933619880368</v>
      </c>
      <c r="AT416" s="9">
        <v>2.6687460282374063</v>
      </c>
      <c r="AU416" s="13">
        <f t="shared" si="69"/>
        <v>26125.281992786182</v>
      </c>
    </row>
    <row r="417" spans="1:47" x14ac:dyDescent="0.35">
      <c r="A417">
        <f t="shared" si="64"/>
        <v>394</v>
      </c>
      <c r="B417" s="13">
        <f t="shared" si="65"/>
        <v>18705.393893487526</v>
      </c>
      <c r="F417">
        <f t="shared" si="66"/>
        <v>394</v>
      </c>
      <c r="G417" s="13">
        <f t="shared" si="67"/>
        <v>26091.875121151166</v>
      </c>
      <c r="AQ417">
        <v>394</v>
      </c>
      <c r="AR417" s="14">
        <v>1.910790692083062</v>
      </c>
      <c r="AS417" s="13">
        <f t="shared" si="68"/>
        <v>18705.393893487526</v>
      </c>
      <c r="AT417" s="9">
        <v>2.6653334543170022</v>
      </c>
      <c r="AU417" s="13">
        <f t="shared" si="69"/>
        <v>26091.875121151166</v>
      </c>
    </row>
    <row r="418" spans="1:47" x14ac:dyDescent="0.35">
      <c r="A418">
        <f t="shared" si="64"/>
        <v>395</v>
      </c>
      <c r="B418" s="13">
        <f t="shared" si="65"/>
        <v>18553.395778879851</v>
      </c>
      <c r="F418">
        <f t="shared" si="66"/>
        <v>395</v>
      </c>
      <c r="G418" s="13">
        <f t="shared" si="67"/>
        <v>26058.44280310216</v>
      </c>
      <c r="AQ418">
        <v>395</v>
      </c>
      <c r="AR418" s="14">
        <v>1.8952638026595978</v>
      </c>
      <c r="AS418" s="13">
        <f t="shared" si="68"/>
        <v>18553.395778879851</v>
      </c>
      <c r="AT418" s="9">
        <v>2.6619182809981958</v>
      </c>
      <c r="AU418" s="13">
        <f t="shared" si="69"/>
        <v>26058.44280310216</v>
      </c>
    </row>
    <row r="419" spans="1:47" x14ac:dyDescent="0.35">
      <c r="A419">
        <f t="shared" si="64"/>
        <v>396</v>
      </c>
      <c r="B419" s="13">
        <f t="shared" si="65"/>
        <v>18400.939055233921</v>
      </c>
      <c r="F419">
        <f t="shared" si="66"/>
        <v>396</v>
      </c>
      <c r="G419" s="13">
        <f t="shared" si="67"/>
        <v>26024.985083751275</v>
      </c>
      <c r="AQ419">
        <v>396</v>
      </c>
      <c r="AR419" s="14">
        <v>1.8796900654719759</v>
      </c>
      <c r="AS419" s="13">
        <f t="shared" si="68"/>
        <v>18400.939055233921</v>
      </c>
      <c r="AT419" s="9">
        <v>2.6585005128892734</v>
      </c>
      <c r="AU419" s="13">
        <f t="shared" si="69"/>
        <v>26024.985083751275</v>
      </c>
    </row>
    <row r="420" spans="1:47" x14ac:dyDescent="0.35">
      <c r="A420">
        <f t="shared" si="64"/>
        <v>397</v>
      </c>
      <c r="B420" s="13">
        <f t="shared" si="65"/>
        <v>18248.023502178607</v>
      </c>
      <c r="F420">
        <f t="shared" si="66"/>
        <v>397</v>
      </c>
      <c r="G420" s="13">
        <f t="shared" si="67"/>
        <v>25991.50200801692</v>
      </c>
      <c r="AQ420">
        <v>397</v>
      </c>
      <c r="AR420" s="14">
        <v>1.8640694580088764</v>
      </c>
      <c r="AS420" s="13">
        <f t="shared" si="68"/>
        <v>18248.023502178607</v>
      </c>
      <c r="AT420" s="9">
        <v>2.6550801545787328</v>
      </c>
      <c r="AU420" s="13">
        <f t="shared" si="69"/>
        <v>25991.50200801692</v>
      </c>
    </row>
    <row r="421" spans="1:47" x14ac:dyDescent="0.35">
      <c r="A421">
        <f t="shared" si="64"/>
        <v>398</v>
      </c>
      <c r="B421" s="13">
        <f t="shared" si="65"/>
        <v>18094.648899793126</v>
      </c>
      <c r="F421">
        <f t="shared" si="66"/>
        <v>398</v>
      </c>
      <c r="G421" s="13">
        <f t="shared" si="67"/>
        <v>25957.993620625082</v>
      </c>
      <c r="AQ421">
        <v>398</v>
      </c>
      <c r="AR421" s="14">
        <v>1.8484019578049833</v>
      </c>
      <c r="AS421" s="13">
        <f t="shared" si="68"/>
        <v>18094.648899793126</v>
      </c>
      <c r="AT421" s="9">
        <v>2.6516572106354177</v>
      </c>
      <c r="AU421" s="13">
        <f t="shared" si="69"/>
        <v>25957.993620625082</v>
      </c>
    </row>
    <row r="422" spans="1:47" x14ac:dyDescent="0.35">
      <c r="A422">
        <f t="shared" si="64"/>
        <v>399</v>
      </c>
      <c r="B422" s="13">
        <f t="shared" si="65"/>
        <v>17940.815028604866</v>
      </c>
      <c r="F422">
        <f t="shared" si="66"/>
        <v>399</v>
      </c>
      <c r="G422" s="13">
        <f t="shared" si="67"/>
        <v>25924.459966110622</v>
      </c>
      <c r="AQ422">
        <v>399</v>
      </c>
      <c r="AR422" s="14">
        <v>1.832687542440762</v>
      </c>
      <c r="AS422" s="13">
        <f t="shared" si="68"/>
        <v>17940.815028604866</v>
      </c>
      <c r="AT422" s="9">
        <v>2.6482316856086463</v>
      </c>
      <c r="AU422" s="13">
        <f t="shared" si="69"/>
        <v>25924.459966110622</v>
      </c>
    </row>
    <row r="423" spans="1:47" x14ac:dyDescent="0.35">
      <c r="A423">
        <f t="shared" si="64"/>
        <v>400</v>
      </c>
      <c r="B423" s="13">
        <f t="shared" si="65"/>
        <v>17786.52166958759</v>
      </c>
      <c r="F423">
        <f t="shared" si="66"/>
        <v>400</v>
      </c>
      <c r="G423" s="13">
        <f t="shared" si="67"/>
        <v>25890.90108881858</v>
      </c>
      <c r="AQ423">
        <v>400</v>
      </c>
      <c r="AR423" s="14">
        <v>1.8169261895422761</v>
      </c>
      <c r="AS423" s="13">
        <f t="shared" si="68"/>
        <v>17786.52166958759</v>
      </c>
      <c r="AT423" s="9">
        <v>2.644803584028347</v>
      </c>
      <c r="AU423" s="13">
        <f t="shared" si="69"/>
        <v>25890.90108881858</v>
      </c>
    </row>
    <row r="424" spans="1:47" x14ac:dyDescent="0.35">
      <c r="A424">
        <f t="shared" si="64"/>
        <v>401</v>
      </c>
      <c r="B424" s="13">
        <f t="shared" si="65"/>
        <v>17631.768604158977</v>
      </c>
      <c r="F424">
        <f t="shared" si="66"/>
        <v>401</v>
      </c>
      <c r="G424" s="13">
        <f t="shared" si="67"/>
        <v>25857.317032905481</v>
      </c>
      <c r="AQ424">
        <v>401</v>
      </c>
      <c r="AR424" s="14">
        <v>1.8011178767809359</v>
      </c>
      <c r="AS424" s="13">
        <f t="shared" si="68"/>
        <v>17631.768604158977</v>
      </c>
      <c r="AT424" s="9">
        <v>2.64137291040519</v>
      </c>
      <c r="AU424" s="13">
        <f t="shared" si="69"/>
        <v>25857.317032905481</v>
      </c>
    </row>
    <row r="425" spans="1:47" x14ac:dyDescent="0.35">
      <c r="A425">
        <f t="shared" si="64"/>
        <v>402</v>
      </c>
      <c r="B425" s="13">
        <f t="shared" si="65"/>
        <v>17476.555614179208</v>
      </c>
      <c r="F425">
        <f t="shared" si="66"/>
        <v>402</v>
      </c>
      <c r="G425" s="13">
        <f t="shared" si="67"/>
        <v>25823.707842340558</v>
      </c>
      <c r="AQ425">
        <v>402</v>
      </c>
      <c r="AR425" s="14">
        <v>1.7852625818733538</v>
      </c>
      <c r="AS425" s="13">
        <f t="shared" si="68"/>
        <v>17476.555614179208</v>
      </c>
      <c r="AT425" s="9">
        <v>2.6379396692307147</v>
      </c>
      <c r="AU425" s="13">
        <f t="shared" si="69"/>
        <v>25823.707842340558</v>
      </c>
    </row>
    <row r="426" spans="1:47" x14ac:dyDescent="0.35">
      <c r="A426">
        <f t="shared" si="64"/>
        <v>403</v>
      </c>
      <c r="B426" s="13">
        <f t="shared" si="65"/>
        <v>17320.882481948436</v>
      </c>
      <c r="F426">
        <f t="shared" si="66"/>
        <v>403</v>
      </c>
      <c r="G426" s="13">
        <f t="shared" si="67"/>
        <v>25790.07356090704</v>
      </c>
      <c r="AQ426">
        <v>403</v>
      </c>
      <c r="AR426" s="14">
        <v>1.7693602825810877</v>
      </c>
      <c r="AS426" s="13">
        <f t="shared" si="68"/>
        <v>17320.882481948436</v>
      </c>
      <c r="AT426" s="9">
        <v>2.634503864977459</v>
      </c>
      <c r="AU426" s="13">
        <f t="shared" si="69"/>
        <v>25790.07356090704</v>
      </c>
    </row>
    <row r="427" spans="1:47" x14ac:dyDescent="0.35">
      <c r="A427">
        <f t="shared" si="64"/>
        <v>404</v>
      </c>
      <c r="B427" s="13">
        <f t="shared" si="65"/>
        <v>17164.748990204997</v>
      </c>
      <c r="F427">
        <f t="shared" si="66"/>
        <v>404</v>
      </c>
      <c r="G427" s="13">
        <f t="shared" si="67"/>
        <v>25756.414232203402</v>
      </c>
      <c r="AQ427">
        <v>404</v>
      </c>
      <c r="AR427" s="14">
        <v>1.7534109567104541</v>
      </c>
      <c r="AS427" s="13">
        <f t="shared" si="68"/>
        <v>17164.748990204997</v>
      </c>
      <c r="AT427" s="9">
        <v>2.6310655020990876</v>
      </c>
      <c r="AU427" s="13">
        <f t="shared" si="69"/>
        <v>25756.414232203402</v>
      </c>
    </row>
    <row r="428" spans="1:47" x14ac:dyDescent="0.35">
      <c r="A428">
        <f t="shared" si="64"/>
        <v>405</v>
      </c>
      <c r="B428" s="13">
        <f t="shared" si="65"/>
        <v>17008.154922123809</v>
      </c>
      <c r="F428">
        <f t="shared" si="66"/>
        <v>405</v>
      </c>
      <c r="G428" s="13">
        <f t="shared" si="67"/>
        <v>25722.729899644586</v>
      </c>
      <c r="AQ428">
        <v>405</v>
      </c>
      <c r="AR428" s="14">
        <v>1.7374145821123692</v>
      </c>
      <c r="AS428" s="13">
        <f t="shared" si="68"/>
        <v>17008.154922123809</v>
      </c>
      <c r="AT428" s="9">
        <v>2.6276245850305187</v>
      </c>
      <c r="AU428" s="13">
        <f t="shared" si="69"/>
        <v>25722.729899644586</v>
      </c>
    </row>
    <row r="429" spans="1:47" x14ac:dyDescent="0.35">
      <c r="A429">
        <f t="shared" si="64"/>
        <v>406</v>
      </c>
      <c r="B429" s="13">
        <f t="shared" si="65"/>
        <v>16851.100061313591</v>
      </c>
      <c r="F429">
        <f t="shared" si="66"/>
        <v>406</v>
      </c>
      <c r="G429" s="13">
        <f t="shared" si="67"/>
        <v>25689.020606463218</v>
      </c>
      <c r="AQ429">
        <v>406</v>
      </c>
      <c r="AR429" s="14">
        <v>1.7213711366820621</v>
      </c>
      <c r="AS429" s="13">
        <f t="shared" si="68"/>
        <v>16851.100061313591</v>
      </c>
      <c r="AT429" s="9">
        <v>2.6241811181880434</v>
      </c>
      <c r="AU429" s="13">
        <f t="shared" si="69"/>
        <v>25689.020606463218</v>
      </c>
    </row>
    <row r="430" spans="1:47" x14ac:dyDescent="0.35">
      <c r="A430">
        <f t="shared" si="64"/>
        <v>407</v>
      </c>
      <c r="B430" s="13">
        <f t="shared" si="65"/>
        <v>16693.584191815724</v>
      </c>
      <c r="F430">
        <f t="shared" si="66"/>
        <v>407</v>
      </c>
      <c r="G430" s="13">
        <f t="shared" si="67"/>
        <v>25655.28639571086</v>
      </c>
      <c r="AQ430">
        <v>407</v>
      </c>
      <c r="AR430" s="14">
        <v>1.7052805983589594</v>
      </c>
      <c r="AS430" s="13">
        <f t="shared" si="68"/>
        <v>16693.584191815724</v>
      </c>
      <c r="AT430" s="9">
        <v>2.6207351059694601</v>
      </c>
      <c r="AU430" s="13">
        <f t="shared" si="69"/>
        <v>25655.28639571086</v>
      </c>
    </row>
    <row r="431" spans="1:47" x14ac:dyDescent="0.35">
      <c r="A431">
        <f t="shared" si="64"/>
        <v>408</v>
      </c>
      <c r="B431" s="13">
        <f t="shared" si="65"/>
        <v>16535.607098101947</v>
      </c>
      <c r="F431">
        <f t="shared" si="66"/>
        <v>408</v>
      </c>
      <c r="G431" s="13">
        <f t="shared" si="67"/>
        <v>25621.527310259167</v>
      </c>
      <c r="AQ431">
        <v>408</v>
      </c>
      <c r="AR431" s="14">
        <v>1.689142945126449</v>
      </c>
      <c r="AS431" s="13">
        <f t="shared" si="68"/>
        <v>16535.607098101947</v>
      </c>
      <c r="AT431" s="9">
        <v>2.6172865527541869</v>
      </c>
      <c r="AU431" s="13">
        <f t="shared" si="69"/>
        <v>25621.527310259167</v>
      </c>
    </row>
    <row r="432" spans="1:47" x14ac:dyDescent="0.35">
      <c r="A432">
        <f t="shared" si="64"/>
        <v>409</v>
      </c>
      <c r="B432" s="13">
        <f t="shared" si="65"/>
        <v>16377.168565072505</v>
      </c>
      <c r="F432">
        <f t="shared" si="66"/>
        <v>409</v>
      </c>
      <c r="G432" s="13">
        <f t="shared" si="67"/>
        <v>25587.743392801083</v>
      </c>
      <c r="AQ432">
        <v>409</v>
      </c>
      <c r="AR432" s="14">
        <v>1.6729581550116919</v>
      </c>
      <c r="AS432" s="13">
        <f t="shared" si="68"/>
        <v>16377.168565072505</v>
      </c>
      <c r="AT432" s="9">
        <v>2.6138354629033884</v>
      </c>
      <c r="AU432" s="13">
        <f t="shared" si="69"/>
        <v>25587.743392801083</v>
      </c>
    </row>
    <row r="433" spans="1:47" x14ac:dyDescent="0.35">
      <c r="A433">
        <f t="shared" si="64"/>
        <v>410</v>
      </c>
      <c r="B433" s="13">
        <f t="shared" si="65"/>
        <v>16218.268378054287</v>
      </c>
      <c r="F433">
        <f t="shared" si="66"/>
        <v>410</v>
      </c>
      <c r="G433" s="13">
        <f t="shared" si="67"/>
        <v>25553.934685852066</v>
      </c>
      <c r="AQ433">
        <v>410</v>
      </c>
      <c r="AR433" s="14">
        <v>1.6567262060854318</v>
      </c>
      <c r="AS433" s="13">
        <f t="shared" si="68"/>
        <v>16218.268378054287</v>
      </c>
      <c r="AT433" s="9">
        <v>2.6103818407600965</v>
      </c>
      <c r="AU433" s="13">
        <f t="shared" si="69"/>
        <v>25553.934685852066</v>
      </c>
    </row>
    <row r="434" spans="1:47" x14ac:dyDescent="0.35">
      <c r="A434">
        <f t="shared" si="64"/>
        <v>411</v>
      </c>
      <c r="B434" s="13">
        <f t="shared" si="65"/>
        <v>16058.906322798903</v>
      </c>
      <c r="F434">
        <f t="shared" si="66"/>
        <v>411</v>
      </c>
      <c r="G434" s="13">
        <f t="shared" si="67"/>
        <v>25520.101231751225</v>
      </c>
      <c r="AQ434">
        <v>411</v>
      </c>
      <c r="AR434" s="14">
        <v>1.6404470764617978</v>
      </c>
      <c r="AS434" s="13">
        <f t="shared" si="68"/>
        <v>16058.906322798903</v>
      </c>
      <c r="AT434" s="9">
        <v>2.6069256906493301</v>
      </c>
      <c r="AU434" s="13">
        <f t="shared" si="69"/>
        <v>25520.101231751225</v>
      </c>
    </row>
    <row r="435" spans="1:47" x14ac:dyDescent="0.35">
      <c r="A435">
        <f t="shared" si="64"/>
        <v>412</v>
      </c>
      <c r="B435" s="13">
        <f t="shared" si="65"/>
        <v>15899.082185480675</v>
      </c>
      <c r="F435">
        <f t="shared" si="66"/>
        <v>412</v>
      </c>
      <c r="G435" s="13">
        <f t="shared" si="67"/>
        <v>25486.243072662426</v>
      </c>
      <c r="AQ435">
        <v>412</v>
      </c>
      <c r="AR435" s="14">
        <v>1.6241207442981005</v>
      </c>
      <c r="AS435" s="13">
        <f t="shared" si="68"/>
        <v>15899.082185480675</v>
      </c>
      <c r="AT435" s="9">
        <v>2.6034670168782061</v>
      </c>
      <c r="AU435" s="13">
        <f t="shared" si="69"/>
        <v>25486.243072662426</v>
      </c>
    </row>
    <row r="436" spans="1:47" x14ac:dyDescent="0.35">
      <c r="A436">
        <f t="shared" si="64"/>
        <v>413</v>
      </c>
      <c r="B436" s="13">
        <f t="shared" si="65"/>
        <v>15738.795752695165</v>
      </c>
      <c r="F436">
        <f t="shared" si="66"/>
        <v>413</v>
      </c>
      <c r="G436" s="13">
        <f t="shared" si="67"/>
        <v>25452.360250575548</v>
      </c>
      <c r="AQ436">
        <v>413</v>
      </c>
      <c r="AR436" s="14">
        <v>1.6077471877946801</v>
      </c>
      <c r="AS436" s="13">
        <f t="shared" si="68"/>
        <v>15738.795752695165</v>
      </c>
      <c r="AT436" s="9">
        <v>2.600005823736069</v>
      </c>
      <c r="AU436" s="13">
        <f t="shared" si="69"/>
        <v>25452.360250575548</v>
      </c>
    </row>
    <row r="437" spans="1:47" x14ac:dyDescent="0.35">
      <c r="A437">
        <f t="shared" si="64"/>
        <v>414</v>
      </c>
      <c r="B437" s="13">
        <f t="shared" si="65"/>
        <v>15578.046811456976</v>
      </c>
      <c r="F437">
        <f t="shared" si="66"/>
        <v>414</v>
      </c>
      <c r="G437" s="13">
        <f t="shared" si="67"/>
        <v>25418.452807307574</v>
      </c>
      <c r="AQ437">
        <v>414</v>
      </c>
      <c r="AR437" s="14">
        <v>1.5913263851946837</v>
      </c>
      <c r="AS437" s="13">
        <f t="shared" si="68"/>
        <v>15578.046811456976</v>
      </c>
      <c r="AT437" s="9">
        <v>2.5965421154946009</v>
      </c>
      <c r="AU437" s="13">
        <f t="shared" si="69"/>
        <v>25418.452807307574</v>
      </c>
    </row>
    <row r="438" spans="1:47" x14ac:dyDescent="0.35">
      <c r="A438">
        <f t="shared" si="64"/>
        <v>415</v>
      </c>
      <c r="B438" s="13">
        <f t="shared" si="65"/>
        <v>15416.835149197848</v>
      </c>
      <c r="F438">
        <f t="shared" si="66"/>
        <v>415</v>
      </c>
      <c r="G438" s="13">
        <f t="shared" si="67"/>
        <v>25384.520784503649</v>
      </c>
      <c r="AQ438">
        <v>415</v>
      </c>
      <c r="AR438" s="14">
        <v>1.5748583147838686</v>
      </c>
      <c r="AS438" s="13">
        <f t="shared" si="68"/>
        <v>15416.835149197848</v>
      </c>
      <c r="AT438" s="9">
        <v>2.5930758964079308</v>
      </c>
      <c r="AU438" s="13">
        <f t="shared" si="69"/>
        <v>25384.520784503649</v>
      </c>
    </row>
    <row r="439" spans="1:47" x14ac:dyDescent="0.35">
      <c r="A439">
        <f t="shared" si="64"/>
        <v>416</v>
      </c>
      <c r="B439" s="13">
        <f t="shared" si="65"/>
        <v>15255.160553765319</v>
      </c>
      <c r="F439">
        <f t="shared" si="66"/>
        <v>416</v>
      </c>
      <c r="G439" s="13">
        <f t="shared" si="67"/>
        <v>25350.564223638321</v>
      </c>
      <c r="AQ439">
        <v>416</v>
      </c>
      <c r="AR439" s="14">
        <v>1.5583429548904677</v>
      </c>
      <c r="AS439" s="13">
        <f t="shared" si="68"/>
        <v>15255.160553765319</v>
      </c>
      <c r="AT439" s="9">
        <v>2.5896071707127604</v>
      </c>
      <c r="AU439" s="13">
        <f t="shared" si="69"/>
        <v>25350.564223638321</v>
      </c>
    </row>
    <row r="440" spans="1:47" x14ac:dyDescent="0.35">
      <c r="A440">
        <f t="shared" si="64"/>
        <v>417</v>
      </c>
      <c r="B440" s="13">
        <f t="shared" si="65"/>
        <v>15093.02281342035</v>
      </c>
      <c r="F440">
        <f t="shared" si="66"/>
        <v>417</v>
      </c>
      <c r="G440" s="13">
        <f t="shared" si="67"/>
        <v>25316.583166016564</v>
      </c>
      <c r="AQ440">
        <v>417</v>
      </c>
      <c r="AR440" s="14">
        <v>1.541780283884945</v>
      </c>
      <c r="AS440" s="13">
        <f t="shared" si="68"/>
        <v>15093.02281342035</v>
      </c>
      <c r="AT440" s="9">
        <v>2.58613594262847</v>
      </c>
      <c r="AU440" s="13">
        <f t="shared" si="69"/>
        <v>25316.583166016564</v>
      </c>
    </row>
    <row r="441" spans="1:47" x14ac:dyDescent="0.35">
      <c r="A441">
        <f t="shared" si="64"/>
        <v>418</v>
      </c>
      <c r="B441" s="13">
        <f t="shared" si="65"/>
        <v>14930.421716835957</v>
      </c>
      <c r="F441">
        <f t="shared" si="66"/>
        <v>418</v>
      </c>
      <c r="G441" s="13">
        <f t="shared" si="67"/>
        <v>25282.577652774915</v>
      </c>
      <c r="AQ441">
        <v>418</v>
      </c>
      <c r="AR441" s="14">
        <v>1.5251702801798572</v>
      </c>
      <c r="AS441" s="13">
        <f t="shared" si="68"/>
        <v>14930.421716835957</v>
      </c>
      <c r="AT441" s="9">
        <v>2.5826622163572326</v>
      </c>
      <c r="AU441" s="13">
        <f t="shared" si="69"/>
        <v>25282.577652774915</v>
      </c>
    </row>
    <row r="442" spans="1:47" x14ac:dyDescent="0.35">
      <c r="A442">
        <f t="shared" si="64"/>
        <v>419</v>
      </c>
      <c r="B442" s="13">
        <f t="shared" si="65"/>
        <v>14767.357053095173</v>
      </c>
      <c r="F442">
        <f t="shared" si="66"/>
        <v>419</v>
      </c>
      <c r="G442" s="13">
        <f t="shared" si="67"/>
        <v>25248.54772488253</v>
      </c>
      <c r="AQ442">
        <v>419</v>
      </c>
      <c r="AR442" s="14">
        <v>1.5085129222296443</v>
      </c>
      <c r="AS442" s="13">
        <f t="shared" si="68"/>
        <v>14767.357053095173</v>
      </c>
      <c r="AT442" s="9">
        <v>2.5791859960841239</v>
      </c>
      <c r="AU442" s="13">
        <f t="shared" si="69"/>
        <v>25248.54772488253</v>
      </c>
    </row>
    <row r="443" spans="1:47" x14ac:dyDescent="0.35">
      <c r="A443">
        <f t="shared" si="64"/>
        <v>420</v>
      </c>
      <c r="B443" s="13">
        <f t="shared" si="65"/>
        <v>14603.828611689347</v>
      </c>
      <c r="F443">
        <f t="shared" si="66"/>
        <v>420</v>
      </c>
      <c r="G443" s="13">
        <f t="shared" si="67"/>
        <v>25214.493423142285</v>
      </c>
      <c r="AQ443">
        <v>420</v>
      </c>
      <c r="AR443" s="14">
        <v>1.4918081885304577</v>
      </c>
      <c r="AS443" s="13">
        <f t="shared" si="68"/>
        <v>14603.828611689347</v>
      </c>
      <c r="AT443" s="9">
        <v>2.575707285977233</v>
      </c>
      <c r="AU443" s="13">
        <f t="shared" si="69"/>
        <v>25214.493423142285</v>
      </c>
    </row>
    <row r="444" spans="1:47" x14ac:dyDescent="0.35">
      <c r="A444">
        <f t="shared" si="64"/>
        <v>421</v>
      </c>
      <c r="B444" s="13">
        <f t="shared" si="65"/>
        <v>14439.836182516392</v>
      </c>
      <c r="F444">
        <f t="shared" si="66"/>
        <v>421</v>
      </c>
      <c r="G444" s="13">
        <f t="shared" si="67"/>
        <v>25180.414788191865</v>
      </c>
      <c r="AQ444">
        <v>421</v>
      </c>
      <c r="AR444" s="14">
        <v>1.4750560576199789</v>
      </c>
      <c r="AS444" s="13">
        <f t="shared" si="68"/>
        <v>14439.836182516392</v>
      </c>
      <c r="AT444" s="9">
        <v>2.5722260901877751</v>
      </c>
      <c r="AU444" s="13">
        <f t="shared" si="69"/>
        <v>25180.414788191865</v>
      </c>
    </row>
    <row r="445" spans="1:47" x14ac:dyDescent="0.35">
      <c r="A445">
        <f t="shared" si="64"/>
        <v>422</v>
      </c>
      <c r="B445" s="13">
        <f t="shared" si="65"/>
        <v>14275.379555878921</v>
      </c>
      <c r="F445">
        <f t="shared" si="66"/>
        <v>422</v>
      </c>
      <c r="G445" s="13">
        <f t="shared" si="67"/>
        <v>25146.311860504775</v>
      </c>
      <c r="AQ445">
        <v>422</v>
      </c>
      <c r="AR445" s="14">
        <v>1.458256508077231</v>
      </c>
      <c r="AS445" s="13">
        <f t="shared" si="68"/>
        <v>14275.379555878921</v>
      </c>
      <c r="AT445" s="9">
        <v>2.5687424128501939</v>
      </c>
      <c r="AU445" s="13">
        <f t="shared" si="69"/>
        <v>25146.311860504775</v>
      </c>
    </row>
    <row r="446" spans="1:47" x14ac:dyDescent="0.35">
      <c r="A446">
        <f t="shared" si="64"/>
        <v>423</v>
      </c>
      <c r="B446" s="13">
        <f t="shared" si="65"/>
        <v>14110.458522483006</v>
      </c>
      <c r="F446">
        <f t="shared" si="66"/>
        <v>423</v>
      </c>
      <c r="G446" s="13">
        <f t="shared" si="67"/>
        <v>25112.184680391434</v>
      </c>
      <c r="AQ446">
        <v>423</v>
      </c>
      <c r="AR446" s="14">
        <v>1.4414095185224509</v>
      </c>
      <c r="AS446" s="13">
        <f t="shared" si="68"/>
        <v>14110.458522483006</v>
      </c>
      <c r="AT446" s="9">
        <v>2.5652562580822735</v>
      </c>
      <c r="AU446" s="13">
        <f t="shared" si="69"/>
        <v>25112.184680391434</v>
      </c>
    </row>
    <row r="447" spans="1:47" x14ac:dyDescent="0.35">
      <c r="A447">
        <f t="shared" si="64"/>
        <v>424</v>
      </c>
      <c r="B447" s="13">
        <f t="shared" si="65"/>
        <v>13945.072873435458</v>
      </c>
      <c r="F447">
        <f t="shared" si="66"/>
        <v>424</v>
      </c>
      <c r="G447" s="13">
        <f t="shared" si="67"/>
        <v>25078.033288000177</v>
      </c>
      <c r="AQ447">
        <v>424</v>
      </c>
      <c r="AR447" s="14">
        <v>1.4245150676168112</v>
      </c>
      <c r="AS447" s="13">
        <f t="shared" si="68"/>
        <v>13945.072873435458</v>
      </c>
      <c r="AT447" s="9">
        <v>2.5617676299852405</v>
      </c>
      <c r="AU447" s="13">
        <f t="shared" si="69"/>
        <v>25078.033288000177</v>
      </c>
    </row>
    <row r="448" spans="1:47" x14ac:dyDescent="0.35">
      <c r="A448">
        <f t="shared" si="64"/>
        <v>425</v>
      </c>
      <c r="B448" s="13">
        <f t="shared" si="65"/>
        <v>13779.222400243247</v>
      </c>
      <c r="F448">
        <f t="shared" si="66"/>
        <v>425</v>
      </c>
      <c r="G448" s="13">
        <f t="shared" si="67"/>
        <v>25043.85772331832</v>
      </c>
      <c r="AQ448">
        <v>425</v>
      </c>
      <c r="AR448" s="14">
        <v>1.4075731340623632</v>
      </c>
      <c r="AS448" s="13">
        <f t="shared" si="68"/>
        <v>13779.222400243247</v>
      </c>
      <c r="AT448" s="9">
        <v>2.5582765326438737</v>
      </c>
      <c r="AU448" s="13">
        <f t="shared" si="69"/>
        <v>25043.85772331832</v>
      </c>
    </row>
    <row r="449" spans="1:47" x14ac:dyDescent="0.35">
      <c r="A449">
        <f t="shared" si="64"/>
        <v>426</v>
      </c>
      <c r="B449" s="13">
        <f t="shared" si="65"/>
        <v>13612.906894810993</v>
      </c>
      <c r="F449">
        <f t="shared" si="66"/>
        <v>426</v>
      </c>
      <c r="G449" s="13">
        <f t="shared" si="67"/>
        <v>25009.658026173198</v>
      </c>
      <c r="AQ449">
        <v>426</v>
      </c>
      <c r="AR449" s="14">
        <v>1.3905836966017766</v>
      </c>
      <c r="AS449" s="13">
        <f t="shared" si="68"/>
        <v>13612.906894810993</v>
      </c>
      <c r="AT449" s="9">
        <v>2.5547829701266092</v>
      </c>
      <c r="AU449" s="13">
        <f t="shared" si="69"/>
        <v>25009.658026173198</v>
      </c>
    </row>
    <row r="450" spans="1:47" x14ac:dyDescent="0.35">
      <c r="A450">
        <f t="shared" si="64"/>
        <v>427</v>
      </c>
      <c r="B450" s="13">
        <f t="shared" si="65"/>
        <v>13446.126149439648</v>
      </c>
      <c r="F450">
        <f t="shared" si="66"/>
        <v>427</v>
      </c>
      <c r="G450" s="13">
        <f t="shared" si="67"/>
        <v>24975.434236233134</v>
      </c>
      <c r="AQ450">
        <v>427</v>
      </c>
      <c r="AR450" s="14">
        <v>1.373546734018209</v>
      </c>
      <c r="AS450" s="13">
        <f t="shared" si="68"/>
        <v>13446.126149439648</v>
      </c>
      <c r="AT450" s="9">
        <v>2.5512869464856394</v>
      </c>
      <c r="AU450" s="13">
        <f t="shared" si="69"/>
        <v>24975.434236233134</v>
      </c>
    </row>
    <row r="451" spans="1:47" x14ac:dyDescent="0.35">
      <c r="A451">
        <f t="shared" si="64"/>
        <v>428</v>
      </c>
      <c r="B451" s="13">
        <f t="shared" si="65"/>
        <v>13278.879956824629</v>
      </c>
      <c r="F451">
        <f t="shared" si="66"/>
        <v>428</v>
      </c>
      <c r="G451" s="13">
        <f t="shared" si="67"/>
        <v>24941.186393008447</v>
      </c>
      <c r="AQ451">
        <v>428</v>
      </c>
      <c r="AR451" s="14">
        <v>1.3564622251351124</v>
      </c>
      <c r="AS451" s="13">
        <f t="shared" si="68"/>
        <v>13278.879956824629</v>
      </c>
      <c r="AT451" s="9">
        <v>2.5477884657570171</v>
      </c>
      <c r="AU451" s="13">
        <f t="shared" si="69"/>
        <v>24941.186393008447</v>
      </c>
    </row>
    <row r="452" spans="1:47" x14ac:dyDescent="0.35">
      <c r="A452">
        <f t="shared" si="64"/>
        <v>429</v>
      </c>
      <c r="B452" s="13">
        <f t="shared" si="65"/>
        <v>13111.168110054257</v>
      </c>
      <c r="F452">
        <f t="shared" si="66"/>
        <v>429</v>
      </c>
      <c r="G452" s="13">
        <f t="shared" si="67"/>
        <v>24906.914535852473</v>
      </c>
      <c r="AQ452">
        <v>429</v>
      </c>
      <c r="AR452" s="14">
        <v>1.3393301488160749</v>
      </c>
      <c r="AS452" s="13">
        <f t="shared" si="68"/>
        <v>13111.168110054257</v>
      </c>
      <c r="AT452" s="9">
        <v>2.5442875319607587</v>
      </c>
      <c r="AU452" s="13">
        <f t="shared" si="69"/>
        <v>24906.914535852473</v>
      </c>
    </row>
    <row r="453" spans="1:47" x14ac:dyDescent="0.35">
      <c r="A453">
        <f t="shared" si="64"/>
        <v>430</v>
      </c>
      <c r="B453" s="13">
        <f t="shared" si="65"/>
        <v>12942.990402608155</v>
      </c>
      <c r="F453">
        <f t="shared" si="66"/>
        <v>430</v>
      </c>
      <c r="G453" s="13">
        <f t="shared" si="67"/>
        <v>24872.618703962577</v>
      </c>
      <c r="AQ453">
        <v>430</v>
      </c>
      <c r="AR453" s="14">
        <v>1.3221504839646565</v>
      </c>
      <c r="AS453" s="13">
        <f t="shared" si="68"/>
        <v>12942.990402608155</v>
      </c>
      <c r="AT453" s="9">
        <v>2.540784149100948</v>
      </c>
      <c r="AU453" s="13">
        <f t="shared" si="69"/>
        <v>24872.618703962577</v>
      </c>
    </row>
    <row r="454" spans="1:47" x14ac:dyDescent="0.35">
      <c r="A454">
        <f t="shared" si="64"/>
        <v>431</v>
      </c>
      <c r="B454" s="13">
        <f t="shared" si="65"/>
        <v>12774.346628355321</v>
      </c>
      <c r="F454">
        <f t="shared" si="66"/>
        <v>431</v>
      </c>
      <c r="G454" s="13">
        <f t="shared" si="67"/>
        <v>24838.298936381088</v>
      </c>
      <c r="AQ454">
        <v>431</v>
      </c>
      <c r="AR454" s="14">
        <v>1.3049232095241936</v>
      </c>
      <c r="AS454" s="13">
        <f t="shared" si="68"/>
        <v>12774.346628355321</v>
      </c>
      <c r="AT454" s="9">
        <v>2.5372783211658305</v>
      </c>
      <c r="AU454" s="13">
        <f t="shared" si="69"/>
        <v>24838.298936381088</v>
      </c>
    </row>
    <row r="455" spans="1:47" x14ac:dyDescent="0.35">
      <c r="A455">
        <f t="shared" si="64"/>
        <v>432</v>
      </c>
      <c r="B455" s="13">
        <f t="shared" si="65"/>
        <v>12605.236581552806</v>
      </c>
      <c r="F455">
        <f t="shared" si="66"/>
        <v>432</v>
      </c>
      <c r="G455" s="13">
        <f t="shared" si="67"/>
        <v>24803.955271996256</v>
      </c>
      <c r="AQ455">
        <v>432</v>
      </c>
      <c r="AR455" s="14">
        <v>1.2876483044776617</v>
      </c>
      <c r="AS455" s="13">
        <f t="shared" si="68"/>
        <v>12605.236581552806</v>
      </c>
      <c r="AT455" s="9">
        <v>2.5337700521279132</v>
      </c>
      <c r="AU455" s="13">
        <f t="shared" si="69"/>
        <v>24803.955271996256</v>
      </c>
    </row>
    <row r="456" spans="1:47" x14ac:dyDescent="0.35">
      <c r="A456">
        <f t="shared" si="64"/>
        <v>433</v>
      </c>
      <c r="B456" s="13">
        <f t="shared" si="65"/>
        <v>12435.660056844186</v>
      </c>
      <c r="F456">
        <f t="shared" si="66"/>
        <v>433</v>
      </c>
      <c r="G456" s="13">
        <f t="shared" si="67"/>
        <v>24769.587749543301</v>
      </c>
      <c r="AQ456">
        <v>433</v>
      </c>
      <c r="AR456" s="14">
        <v>1.2703257478475209</v>
      </c>
      <c r="AS456" s="13">
        <f t="shared" si="68"/>
        <v>12435.660056844186</v>
      </c>
      <c r="AT456" s="9">
        <v>2.5302593459440716</v>
      </c>
      <c r="AU456" s="13">
        <f t="shared" si="69"/>
        <v>24769.587749543301</v>
      </c>
    </row>
    <row r="457" spans="1:47" x14ac:dyDescent="0.35">
      <c r="A457">
        <f t="shared" si="64"/>
        <v>434</v>
      </c>
      <c r="B457" s="13">
        <f t="shared" si="65"/>
        <v>12265.616849257205</v>
      </c>
      <c r="F457">
        <f t="shared" si="66"/>
        <v>434</v>
      </c>
      <c r="G457" s="13">
        <f t="shared" si="67"/>
        <v>24735.19640760525</v>
      </c>
      <c r="AQ457">
        <v>434</v>
      </c>
      <c r="AR457" s="14">
        <v>1.2529555186954755</v>
      </c>
      <c r="AS457" s="13">
        <f t="shared" si="68"/>
        <v>12265.616849257205</v>
      </c>
      <c r="AT457" s="9">
        <v>2.5267462065556332</v>
      </c>
      <c r="AU457" s="13">
        <f t="shared" si="69"/>
        <v>24735.19640760525</v>
      </c>
    </row>
    <row r="458" spans="1:47" x14ac:dyDescent="0.35">
      <c r="A458">
        <f t="shared" si="64"/>
        <v>435</v>
      </c>
      <c r="B458" s="13">
        <f t="shared" si="65"/>
        <v>12095.106754203112</v>
      </c>
      <c r="F458">
        <f t="shared" si="66"/>
        <v>435</v>
      </c>
      <c r="G458" s="13">
        <f t="shared" si="67"/>
        <v>24700.781284614004</v>
      </c>
      <c r="AQ458">
        <v>435</v>
      </c>
      <c r="AR458" s="14">
        <v>1.2355375961224047</v>
      </c>
      <c r="AS458" s="13">
        <f t="shared" si="68"/>
        <v>12095.106754203112</v>
      </c>
      <c r="AT458" s="9">
        <v>2.5232306378884868</v>
      </c>
      <c r="AU458" s="13">
        <f t="shared" si="69"/>
        <v>24700.781284614004</v>
      </c>
    </row>
    <row r="459" spans="1:47" x14ac:dyDescent="0.35">
      <c r="A459">
        <f t="shared" si="64"/>
        <v>436</v>
      </c>
      <c r="B459" s="13">
        <f t="shared" si="65"/>
        <v>11924.129567474496</v>
      </c>
      <c r="F459">
        <f t="shared" si="66"/>
        <v>436</v>
      </c>
      <c r="G459" s="13">
        <f t="shared" si="67"/>
        <v>24666.342418851182</v>
      </c>
      <c r="AQ459">
        <v>436</v>
      </c>
      <c r="AR459" s="14">
        <v>1.2180719592681424</v>
      </c>
      <c r="AS459" s="13">
        <f t="shared" si="68"/>
        <v>11924.129567474496</v>
      </c>
      <c r="AT459" s="9">
        <v>2.5197126438531727</v>
      </c>
      <c r="AU459" s="13">
        <f t="shared" si="69"/>
        <v>24666.342418851182</v>
      </c>
    </row>
    <row r="460" spans="1:47" x14ac:dyDescent="0.35">
      <c r="A460">
        <f t="shared" si="64"/>
        <v>437</v>
      </c>
      <c r="B460" s="13">
        <f t="shared" si="65"/>
        <v>11752.685085243806</v>
      </c>
      <c r="F460">
        <f t="shared" si="66"/>
        <v>437</v>
      </c>
      <c r="G460" s="13">
        <f t="shared" si="67"/>
        <v>24631.879848449098</v>
      </c>
      <c r="AQ460">
        <v>437</v>
      </c>
      <c r="AR460" s="14">
        <v>1.2005585873113263</v>
      </c>
      <c r="AS460" s="13">
        <f t="shared" si="68"/>
        <v>11752.685085243806</v>
      </c>
      <c r="AT460" s="9">
        <v>2.516192228344976</v>
      </c>
      <c r="AU460" s="13">
        <f t="shared" si="69"/>
        <v>24631.879848449098</v>
      </c>
    </row>
    <row r="461" spans="1:47" x14ac:dyDescent="0.35">
      <c r="A461">
        <f t="shared" si="64"/>
        <v>438</v>
      </c>
      <c r="B461" s="13">
        <f t="shared" si="65"/>
        <v>11580.773104061875</v>
      </c>
      <c r="F461">
        <f t="shared" si="66"/>
        <v>438</v>
      </c>
      <c r="G461" s="13">
        <f t="shared" si="67"/>
        <v>24597.393611391668</v>
      </c>
      <c r="AQ461">
        <v>438</v>
      </c>
      <c r="AR461" s="14">
        <v>1.1829974594692465</v>
      </c>
      <c r="AS461" s="13">
        <f t="shared" si="68"/>
        <v>11580.773104061875</v>
      </c>
      <c r="AT461" s="9">
        <v>2.5126693952440249</v>
      </c>
      <c r="AU461" s="13">
        <f t="shared" si="69"/>
        <v>24597.393611391668</v>
      </c>
    </row>
    <row r="462" spans="1:47" x14ac:dyDescent="0.35">
      <c r="A462">
        <f t="shared" si="64"/>
        <v>439</v>
      </c>
      <c r="B462" s="13">
        <f t="shared" si="65"/>
        <v>11408.393420856231</v>
      </c>
      <c r="F462">
        <f t="shared" si="66"/>
        <v>439</v>
      </c>
      <c r="G462" s="13">
        <f t="shared" si="67"/>
        <v>24562.883745515337</v>
      </c>
      <c r="AQ462">
        <v>439</v>
      </c>
      <c r="AR462" s="14">
        <v>1.1653885549976732</v>
      </c>
      <c r="AS462" s="13">
        <f t="shared" si="68"/>
        <v>11408.393420856231</v>
      </c>
      <c r="AT462" s="9">
        <v>2.5091441484153822</v>
      </c>
      <c r="AU462" s="13">
        <f t="shared" si="69"/>
        <v>24562.883745515337</v>
      </c>
    </row>
    <row r="463" spans="1:47" x14ac:dyDescent="0.35">
      <c r="A463">
        <f t="shared" si="64"/>
        <v>440</v>
      </c>
      <c r="B463" s="13">
        <f t="shared" si="65"/>
        <v>11235.54583292974</v>
      </c>
      <c r="F463">
        <f t="shared" si="66"/>
        <v>440</v>
      </c>
      <c r="G463" s="13">
        <f t="shared" si="67"/>
        <v>24528.350288509984</v>
      </c>
      <c r="AQ463">
        <v>440</v>
      </c>
      <c r="AR463" s="14">
        <v>1.1477318531907184</v>
      </c>
      <c r="AS463" s="13">
        <f t="shared" si="68"/>
        <v>11235.54583292974</v>
      </c>
      <c r="AT463" s="9">
        <v>2.505616491709139</v>
      </c>
      <c r="AU463" s="13">
        <f t="shared" si="69"/>
        <v>24528.350288509984</v>
      </c>
    </row>
    <row r="464" spans="1:47" x14ac:dyDescent="0.35">
      <c r="A464">
        <f t="shared" si="64"/>
        <v>441</v>
      </c>
      <c r="B464" s="13">
        <f t="shared" si="65"/>
        <v>11062.230137958626</v>
      </c>
      <c r="F464">
        <f t="shared" si="66"/>
        <v>441</v>
      </c>
      <c r="G464" s="13">
        <f t="shared" si="67"/>
        <v>24493.793277919805</v>
      </c>
      <c r="AQ464">
        <v>441</v>
      </c>
      <c r="AR464" s="14">
        <v>1.1300273333806321</v>
      </c>
      <c r="AS464" s="13">
        <f t="shared" si="68"/>
        <v>11062.230137958626</v>
      </c>
      <c r="AT464" s="9">
        <v>2.5020864289605047</v>
      </c>
      <c r="AU464" s="13">
        <f t="shared" si="69"/>
        <v>24493.793277919805</v>
      </c>
    </row>
    <row r="465" spans="1:47" x14ac:dyDescent="0.35">
      <c r="A465">
        <f t="shared" si="64"/>
        <v>442</v>
      </c>
      <c r="B465" s="13">
        <f t="shared" si="65"/>
        <v>10888.446133991583</v>
      </c>
      <c r="F465">
        <f t="shared" si="66"/>
        <v>442</v>
      </c>
      <c r="G465" s="13">
        <f t="shared" si="67"/>
        <v>24459.212751144238</v>
      </c>
      <c r="AQ465">
        <v>442</v>
      </c>
      <c r="AR465" s="14">
        <v>1.1122749749377148</v>
      </c>
      <c r="AS465" s="13">
        <f t="shared" si="68"/>
        <v>10888.446133991583</v>
      </c>
      <c r="AT465" s="9">
        <v>2.4985539639899015</v>
      </c>
      <c r="AU465" s="13">
        <f t="shared" si="69"/>
        <v>24459.212751144238</v>
      </c>
    </row>
    <row r="466" spans="1:47" x14ac:dyDescent="0.35">
      <c r="A466">
        <f t="shared" si="64"/>
        <v>443</v>
      </c>
      <c r="B466" s="13">
        <f t="shared" si="65"/>
        <v>10714.193619447627</v>
      </c>
      <c r="F466">
        <f t="shared" si="66"/>
        <v>443</v>
      </c>
      <c r="G466" s="13">
        <f t="shared" si="67"/>
        <v>24424.608745438796</v>
      </c>
      <c r="AQ466">
        <v>443</v>
      </c>
      <c r="AR466" s="14">
        <v>1.0944747572700941</v>
      </c>
      <c r="AS466" s="13">
        <f t="shared" si="68"/>
        <v>10714.193619447627</v>
      </c>
      <c r="AT466" s="9">
        <v>2.4950191006030487</v>
      </c>
      <c r="AU466" s="13">
        <f t="shared" si="69"/>
        <v>24424.608745438796</v>
      </c>
    </row>
    <row r="467" spans="1:47" x14ac:dyDescent="0.35">
      <c r="A467">
        <f t="shared" si="64"/>
        <v>444</v>
      </c>
      <c r="B467" s="13">
        <f t="shared" si="65"/>
        <v>10539.472393114995</v>
      </c>
      <c r="F467">
        <f t="shared" si="66"/>
        <v>444</v>
      </c>
      <c r="G467" s="13">
        <f t="shared" si="67"/>
        <v>24389.98129791602</v>
      </c>
      <c r="AQ467">
        <v>444</v>
      </c>
      <c r="AR467" s="14">
        <v>1.0766266598236154</v>
      </c>
      <c r="AS467" s="13">
        <f t="shared" si="68"/>
        <v>10539.472393114995</v>
      </c>
      <c r="AT467" s="9">
        <v>2.4914818425910616</v>
      </c>
      <c r="AU467" s="13">
        <f t="shared" si="69"/>
        <v>24389.98129791602</v>
      </c>
    </row>
    <row r="468" spans="1:47" x14ac:dyDescent="0.35">
      <c r="A468">
        <f t="shared" si="64"/>
        <v>445</v>
      </c>
      <c r="B468" s="13">
        <f t="shared" si="65"/>
        <v>10364.282254149488</v>
      </c>
      <c r="F468">
        <f t="shared" si="66"/>
        <v>445</v>
      </c>
      <c r="G468" s="13">
        <f t="shared" si="67"/>
        <v>24355.330445546268</v>
      </c>
      <c r="AQ468">
        <v>445</v>
      </c>
      <c r="AR468" s="14">
        <v>1.0587306620816714</v>
      </c>
      <c r="AS468" s="13">
        <f t="shared" si="68"/>
        <v>10364.282254149488</v>
      </c>
      <c r="AT468" s="9">
        <v>2.4879421937305306</v>
      </c>
      <c r="AU468" s="13">
        <f t="shared" si="69"/>
        <v>24355.330445546268</v>
      </c>
    </row>
    <row r="469" spans="1:47" x14ac:dyDescent="0.35">
      <c r="A469">
        <f t="shared" si="64"/>
        <v>446</v>
      </c>
      <c r="B469" s="13">
        <f t="shared" si="65"/>
        <v>10188.623002072865</v>
      </c>
      <c r="F469">
        <f t="shared" si="66"/>
        <v>446</v>
      </c>
      <c r="G469" s="13">
        <f t="shared" si="67"/>
        <v>24320.656225158622</v>
      </c>
      <c r="AQ469">
        <v>446</v>
      </c>
      <c r="AR469" s="14">
        <v>1.0407867435650373</v>
      </c>
      <c r="AS469" s="13">
        <f t="shared" si="68"/>
        <v>10188.623002072865</v>
      </c>
      <c r="AT469" s="9">
        <v>2.484400157783615</v>
      </c>
      <c r="AU469" s="13">
        <f t="shared" si="69"/>
        <v>24320.656225158622</v>
      </c>
    </row>
    <row r="470" spans="1:47" x14ac:dyDescent="0.35">
      <c r="A470">
        <f t="shared" si="64"/>
        <v>447</v>
      </c>
      <c r="B470" s="13">
        <f t="shared" si="65"/>
        <v>10012.494436771622</v>
      </c>
      <c r="F470">
        <f t="shared" si="66"/>
        <v>447</v>
      </c>
      <c r="G470" s="13">
        <f t="shared" si="67"/>
        <v>24285.958673441761</v>
      </c>
      <c r="AQ470">
        <v>447</v>
      </c>
      <c r="AR470" s="14">
        <v>1.0227948838317475</v>
      </c>
      <c r="AS470" s="13">
        <f t="shared" si="68"/>
        <v>10012.494436771622</v>
      </c>
      <c r="AT470" s="9">
        <v>2.4808557384981311</v>
      </c>
      <c r="AU470" s="13">
        <f t="shared" si="69"/>
        <v>24285.958673441761</v>
      </c>
    </row>
    <row r="471" spans="1:47" x14ac:dyDescent="0.35">
      <c r="A471">
        <f t="shared" si="64"/>
        <v>448</v>
      </c>
      <c r="B471" s="13">
        <f t="shared" si="65"/>
        <v>9835.8963584953126</v>
      </c>
      <c r="F471">
        <f t="shared" si="66"/>
        <v>448</v>
      </c>
      <c r="G471" s="13">
        <f t="shared" si="67"/>
        <v>24251.237826944773</v>
      </c>
      <c r="AQ471">
        <v>448</v>
      </c>
      <c r="AR471" s="14">
        <v>1.0047550624769239</v>
      </c>
      <c r="AS471" s="13">
        <f t="shared" si="68"/>
        <v>9835.8963584953126</v>
      </c>
      <c r="AT471" s="9">
        <v>2.477308939607636</v>
      </c>
      <c r="AU471" s="13">
        <f t="shared" si="69"/>
        <v>24251.237826944773</v>
      </c>
    </row>
    <row r="472" spans="1:47" x14ac:dyDescent="0.35">
      <c r="A472">
        <f t="shared" ref="A472:A523" si="70">AQ472*B$16*B$17</f>
        <v>449</v>
      </c>
      <c r="B472" s="13">
        <f t="shared" ref="B472:B523" si="71">IF(B$14="DDC-1T+",AS472*B$15*B$17^2,AU472*B$15*B$17^2)</f>
        <v>9658.8285678549928</v>
      </c>
      <c r="F472">
        <f t="shared" ref="F472:F523" si="72">AQ472*G$16*G$17</f>
        <v>449</v>
      </c>
      <c r="G472" s="13">
        <f t="shared" ref="G472:G523" si="73">IF(G$14="DDC-1T+",AS472*G$15*G$17^2,AU472*G$15*G$17^2)</f>
        <v>24216.493722077958</v>
      </c>
      <c r="AQ472">
        <v>449</v>
      </c>
      <c r="AR472" s="14">
        <v>0.9866672591326151</v>
      </c>
      <c r="AS472" s="13">
        <f t="shared" ref="AS472:AS523" si="74">AR472*998.2*9.807</f>
        <v>9658.8285678549928</v>
      </c>
      <c r="AT472" s="9">
        <v>2.4737597648315104</v>
      </c>
      <c r="AU472" s="13">
        <f t="shared" ref="AU472:AU523" si="75">AT472*998.2*9.807</f>
        <v>24216.493722077958</v>
      </c>
    </row>
    <row r="473" spans="1:47" x14ac:dyDescent="0.35">
      <c r="A473">
        <f t="shared" si="70"/>
        <v>450</v>
      </c>
      <c r="B473" s="13">
        <f t="shared" si="71"/>
        <v>9481.2908658221058</v>
      </c>
      <c r="F473">
        <f t="shared" si="72"/>
        <v>450</v>
      </c>
      <c r="G473" s="13">
        <f t="shared" si="73"/>
        <v>24181.72639511379</v>
      </c>
      <c r="AQ473">
        <v>450</v>
      </c>
      <c r="AR473" s="14">
        <v>0.96853145346768521</v>
      </c>
      <c r="AS473" s="13">
        <f t="shared" si="74"/>
        <v>9481.2908658221058</v>
      </c>
      <c r="AT473" s="9">
        <v>2.4702082178750535</v>
      </c>
      <c r="AU473" s="13">
        <f t="shared" si="75"/>
        <v>24181.72639511379</v>
      </c>
    </row>
    <row r="474" spans="1:47" x14ac:dyDescent="0.35">
      <c r="A474">
        <f t="shared" si="70"/>
        <v>451</v>
      </c>
      <c r="B474" s="13">
        <f t="shared" si="71"/>
        <v>9303.2830537266964</v>
      </c>
      <c r="F474">
        <f t="shared" si="72"/>
        <v>451</v>
      </c>
      <c r="G474" s="13">
        <f t="shared" si="73"/>
        <v>24146.935882187634</v>
      </c>
      <c r="AQ474">
        <v>451</v>
      </c>
      <c r="AR474" s="14">
        <v>0.9503476251876295</v>
      </c>
      <c r="AS474" s="13">
        <f t="shared" si="74"/>
        <v>9303.2830537266964</v>
      </c>
      <c r="AT474" s="9">
        <v>2.4666543024295606</v>
      </c>
      <c r="AU474" s="13">
        <f t="shared" si="75"/>
        <v>24146.935882187634</v>
      </c>
    </row>
    <row r="475" spans="1:47" x14ac:dyDescent="0.35">
      <c r="A475">
        <f t="shared" si="70"/>
        <v>452</v>
      </c>
      <c r="B475" s="13">
        <f t="shared" si="71"/>
        <v>9124.8049332560659</v>
      </c>
      <c r="F475">
        <f t="shared" si="72"/>
        <v>452</v>
      </c>
      <c r="G475" s="13">
        <f t="shared" si="73"/>
        <v>24112.122219298602</v>
      </c>
      <c r="AQ475">
        <v>452</v>
      </c>
      <c r="AR475" s="14">
        <v>0.93211575403443803</v>
      </c>
      <c r="AS475" s="13">
        <f t="shared" si="74"/>
        <v>9124.8049332560659</v>
      </c>
      <c r="AT475" s="9">
        <v>2.4630980221724075</v>
      </c>
      <c r="AU475" s="13">
        <f t="shared" si="75"/>
        <v>24112.122219298602</v>
      </c>
    </row>
    <row r="476" spans="1:47" x14ac:dyDescent="0.35">
      <c r="A476">
        <f t="shared" si="70"/>
        <v>453</v>
      </c>
      <c r="B476" s="13">
        <f t="shared" si="71"/>
        <v>8945.856306453481</v>
      </c>
      <c r="F476">
        <f t="shared" si="72"/>
        <v>453</v>
      </c>
      <c r="G476" s="13">
        <f t="shared" si="73"/>
        <v>24077.285442310364</v>
      </c>
      <c r="AQ476">
        <v>453</v>
      </c>
      <c r="AR476" s="14">
        <v>0.91383581978646289</v>
      </c>
      <c r="AS476" s="13">
        <f t="shared" si="74"/>
        <v>8945.856306453481</v>
      </c>
      <c r="AT476" s="9">
        <v>2.4595393807671346</v>
      </c>
      <c r="AU476" s="13">
        <f t="shared" si="75"/>
        <v>24077.285442310364</v>
      </c>
    </row>
    <row r="477" spans="1:47" x14ac:dyDescent="0.35">
      <c r="A477">
        <f t="shared" si="70"/>
        <v>454</v>
      </c>
      <c r="B477" s="13">
        <f t="shared" si="71"/>
        <v>8766.4369757165387</v>
      </c>
      <c r="F477">
        <f t="shared" si="72"/>
        <v>454</v>
      </c>
      <c r="G477" s="13">
        <f t="shared" si="73"/>
        <v>24042.42558695194</v>
      </c>
      <c r="AQ477">
        <v>454</v>
      </c>
      <c r="AR477" s="14">
        <v>0.89550780225825255</v>
      </c>
      <c r="AS477" s="13">
        <f t="shared" si="74"/>
        <v>8766.4369757165387</v>
      </c>
      <c r="AT477" s="9">
        <v>2.4559783818635283</v>
      </c>
      <c r="AU477" s="13">
        <f t="shared" si="75"/>
        <v>24042.42558695194</v>
      </c>
    </row>
    <row r="478" spans="1:47" x14ac:dyDescent="0.35">
      <c r="A478">
        <f t="shared" si="70"/>
        <v>455</v>
      </c>
      <c r="B478" s="13">
        <f t="shared" si="71"/>
        <v>8586.5467437960215</v>
      </c>
      <c r="F478">
        <f t="shared" si="72"/>
        <v>455</v>
      </c>
      <c r="G478" s="13">
        <f t="shared" si="73"/>
        <v>24007.542688818576</v>
      </c>
      <c r="AQ478">
        <v>455</v>
      </c>
      <c r="AR478" s="14">
        <v>0.87713168130043284</v>
      </c>
      <c r="AS478" s="13">
        <f t="shared" si="74"/>
        <v>8586.5467437960215</v>
      </c>
      <c r="AT478" s="9">
        <v>2.452415029097708</v>
      </c>
      <c r="AU478" s="13">
        <f t="shared" si="75"/>
        <v>24007.542688818576</v>
      </c>
    </row>
    <row r="479" spans="1:47" x14ac:dyDescent="0.35">
      <c r="A479">
        <f t="shared" si="70"/>
        <v>456</v>
      </c>
      <c r="B479" s="13">
        <f t="shared" si="71"/>
        <v>8406.1854137939026</v>
      </c>
      <c r="F479">
        <f t="shared" si="72"/>
        <v>456</v>
      </c>
      <c r="G479" s="13">
        <f t="shared" si="73"/>
        <v>23972.636783372393</v>
      </c>
      <c r="AQ479">
        <v>456</v>
      </c>
      <c r="AR479" s="14">
        <v>0.85870743679950534</v>
      </c>
      <c r="AS479" s="13">
        <f t="shared" si="74"/>
        <v>8406.1854137939026</v>
      </c>
      <c r="AT479" s="9">
        <v>2.448849326092196</v>
      </c>
      <c r="AU479" s="13">
        <f t="shared" si="75"/>
        <v>23972.636783372393</v>
      </c>
    </row>
    <row r="480" spans="1:47" x14ac:dyDescent="0.35">
      <c r="A480">
        <f t="shared" si="70"/>
        <v>457</v>
      </c>
      <c r="B480" s="13">
        <f t="shared" si="71"/>
        <v>8225.3527891629474</v>
      </c>
      <c r="F480">
        <f t="shared" si="72"/>
        <v>457</v>
      </c>
      <c r="G480" s="13">
        <f t="shared" si="73"/>
        <v>23937.707905943345</v>
      </c>
      <c r="AQ480">
        <v>457</v>
      </c>
      <c r="AR480" s="14">
        <v>0.84023504867780519</v>
      </c>
      <c r="AS480" s="13">
        <f t="shared" si="74"/>
        <v>8225.3527891629474</v>
      </c>
      <c r="AT480" s="9">
        <v>2.4452812764560119</v>
      </c>
      <c r="AU480" s="13">
        <f t="shared" si="75"/>
        <v>23937.707905943345</v>
      </c>
    </row>
    <row r="481" spans="1:47" x14ac:dyDescent="0.35">
      <c r="A481">
        <f t="shared" si="70"/>
        <v>458</v>
      </c>
      <c r="B481" s="13">
        <f t="shared" si="71"/>
        <v>8044.0486737042693</v>
      </c>
      <c r="F481">
        <f t="shared" si="72"/>
        <v>458</v>
      </c>
      <c r="G481" s="13">
        <f t="shared" si="73"/>
        <v>23902.756091729876</v>
      </c>
      <c r="AQ481">
        <v>458</v>
      </c>
      <c r="AR481" s="14">
        <v>0.82171449689325238</v>
      </c>
      <c r="AS481" s="13">
        <f t="shared" si="74"/>
        <v>8044.0486737042693</v>
      </c>
      <c r="AT481" s="9">
        <v>2.4417108837847428</v>
      </c>
      <c r="AU481" s="13">
        <f t="shared" si="75"/>
        <v>23902.756091729876</v>
      </c>
    </row>
    <row r="482" spans="1:47" x14ac:dyDescent="0.35">
      <c r="A482">
        <f t="shared" si="70"/>
        <v>459</v>
      </c>
      <c r="B482" s="13">
        <f t="shared" si="71"/>
        <v>7862.272871566749</v>
      </c>
      <c r="F482">
        <f t="shared" si="72"/>
        <v>459</v>
      </c>
      <c r="G482" s="13">
        <f t="shared" si="73"/>
        <v>23867.781375799761</v>
      </c>
      <c r="AQ482">
        <v>459</v>
      </c>
      <c r="AR482" s="14">
        <v>0.80314576143929139</v>
      </c>
      <c r="AS482" s="13">
        <f t="shared" si="74"/>
        <v>7862.272871566749</v>
      </c>
      <c r="AT482" s="9">
        <v>2.4381381516606262</v>
      </c>
      <c r="AU482" s="13">
        <f t="shared" si="75"/>
        <v>23867.781375799761</v>
      </c>
    </row>
    <row r="483" spans="1:47" x14ac:dyDescent="0.35">
      <c r="A483">
        <f t="shared" si="70"/>
        <v>460</v>
      </c>
      <c r="B483" s="13">
        <f t="shared" si="71"/>
        <v>7680.0251872449835</v>
      </c>
      <c r="F483">
        <f t="shared" si="72"/>
        <v>460</v>
      </c>
      <c r="G483" s="13">
        <f t="shared" si="73"/>
        <v>23832.78379309081</v>
      </c>
      <c r="AQ483">
        <v>460</v>
      </c>
      <c r="AR483" s="14">
        <v>0.78452882234468291</v>
      </c>
      <c r="AS483" s="13">
        <f t="shared" si="74"/>
        <v>7680.0251872449835</v>
      </c>
      <c r="AT483" s="9">
        <v>2.4345630836526251</v>
      </c>
      <c r="AU483" s="13">
        <f t="shared" si="75"/>
        <v>23832.78379309081</v>
      </c>
    </row>
    <row r="484" spans="1:47" x14ac:dyDescent="0.35">
      <c r="A484">
        <f t="shared" si="70"/>
        <v>461</v>
      </c>
      <c r="B484" s="13">
        <f t="shared" si="71"/>
        <v>7497.3054255786819</v>
      </c>
      <c r="F484">
        <f t="shared" si="72"/>
        <v>461</v>
      </c>
      <c r="G484" s="13">
        <f t="shared" si="73"/>
        <v>23797.76337841171</v>
      </c>
      <c r="AQ484">
        <v>461</v>
      </c>
      <c r="AR484" s="14">
        <v>0.76586365967344072</v>
      </c>
      <c r="AS484" s="13">
        <f t="shared" si="74"/>
        <v>7497.3054255786819</v>
      </c>
      <c r="AT484" s="9">
        <v>2.4309856833165107</v>
      </c>
      <c r="AU484" s="13">
        <f t="shared" si="75"/>
        <v>23797.76337841171</v>
      </c>
    </row>
    <row r="485" spans="1:47" x14ac:dyDescent="0.35">
      <c r="A485">
        <f t="shared" si="70"/>
        <v>462</v>
      </c>
      <c r="B485" s="13">
        <f t="shared" si="71"/>
        <v>7314.1133917505704</v>
      </c>
      <c r="F485">
        <f t="shared" si="72"/>
        <v>462</v>
      </c>
      <c r="G485" s="13">
        <f t="shared" si="73"/>
        <v>23762.720166442745</v>
      </c>
      <c r="AQ485">
        <v>462</v>
      </c>
      <c r="AR485" s="14">
        <v>0.74715025352461906</v>
      </c>
      <c r="AS485" s="13">
        <f t="shared" si="74"/>
        <v>7314.1133917505704</v>
      </c>
      <c r="AT485" s="9">
        <v>2.4274059541949384</v>
      </c>
      <c r="AU485" s="13">
        <f t="shared" si="75"/>
        <v>23762.720166442745</v>
      </c>
    </row>
    <row r="486" spans="1:47" x14ac:dyDescent="0.35">
      <c r="A486">
        <f t="shared" si="70"/>
        <v>463</v>
      </c>
      <c r="B486" s="13">
        <f t="shared" si="71"/>
        <v>7130.4488912855531</v>
      </c>
      <c r="F486">
        <f t="shared" si="72"/>
        <v>463</v>
      </c>
      <c r="G486" s="13">
        <f t="shared" si="73"/>
        <v>23727.65419173651</v>
      </c>
      <c r="AQ486">
        <v>463</v>
      </c>
      <c r="AR486" s="14">
        <v>0.72838858403222595</v>
      </c>
      <c r="AS486" s="13">
        <f t="shared" si="74"/>
        <v>7130.4488912855531</v>
      </c>
      <c r="AT486" s="9">
        <v>2.423823899817521</v>
      </c>
      <c r="AU486" s="13">
        <f t="shared" si="75"/>
        <v>23727.65419173651</v>
      </c>
    </row>
    <row r="487" spans="1:47" x14ac:dyDescent="0.35">
      <c r="A487">
        <f t="shared" si="70"/>
        <v>464</v>
      </c>
      <c r="B487" s="13">
        <f t="shared" si="71"/>
        <v>6946.3117300491422</v>
      </c>
      <c r="F487">
        <f t="shared" si="72"/>
        <v>464</v>
      </c>
      <c r="G487" s="13">
        <f t="shared" si="73"/>
        <v>23692.565488718756</v>
      </c>
      <c r="AQ487">
        <v>464</v>
      </c>
      <c r="AR487" s="14">
        <v>0.70957863136506338</v>
      </c>
      <c r="AS487" s="13">
        <f t="shared" si="74"/>
        <v>6946.3117300491422</v>
      </c>
      <c r="AT487" s="9">
        <v>2.4202395237009111</v>
      </c>
      <c r="AU487" s="13">
        <f t="shared" si="75"/>
        <v>23692.565488718756</v>
      </c>
    </row>
    <row r="488" spans="1:47" x14ac:dyDescent="0.35">
      <c r="A488">
        <f t="shared" si="70"/>
        <v>465</v>
      </c>
      <c r="B488" s="13">
        <f t="shared" si="71"/>
        <v>6761.7017142462046</v>
      </c>
      <c r="F488">
        <f t="shared" si="72"/>
        <v>465</v>
      </c>
      <c r="G488" s="13">
        <f t="shared" si="73"/>
        <v>23657.454091688985</v>
      </c>
      <c r="AQ488">
        <v>465</v>
      </c>
      <c r="AR488" s="14">
        <v>0.69072037572659895</v>
      </c>
      <c r="AS488" s="13">
        <f t="shared" si="74"/>
        <v>6761.7017142462046</v>
      </c>
      <c r="AT488" s="9">
        <v>2.4166528293488678</v>
      </c>
      <c r="AU488" s="13">
        <f t="shared" si="75"/>
        <v>23657.454091688985</v>
      </c>
    </row>
    <row r="489" spans="1:47" x14ac:dyDescent="0.35">
      <c r="A489">
        <f t="shared" si="70"/>
        <v>466</v>
      </c>
      <c r="B489" s="13">
        <f t="shared" si="71"/>
        <v>6576.6186504196194</v>
      </c>
      <c r="F489">
        <f t="shared" si="72"/>
        <v>466</v>
      </c>
      <c r="G489" s="13">
        <f t="shared" si="73"/>
        <v>23622.320034821314</v>
      </c>
      <c r="AQ489">
        <v>466</v>
      </c>
      <c r="AR489" s="14">
        <v>0.6718137973548286</v>
      </c>
      <c r="AS489" s="13">
        <f t="shared" si="74"/>
        <v>6576.6186504196194</v>
      </c>
      <c r="AT489" s="9">
        <v>2.41306382025234</v>
      </c>
      <c r="AU489" s="13">
        <f t="shared" si="75"/>
        <v>23622.320034821314</v>
      </c>
    </row>
    <row r="490" spans="1:47" x14ac:dyDescent="0.35">
      <c r="A490">
        <f t="shared" si="70"/>
        <v>467</v>
      </c>
      <c r="B490" s="13">
        <f t="shared" si="71"/>
        <v>6391.0623454489187</v>
      </c>
      <c r="F490">
        <f t="shared" si="72"/>
        <v>467</v>
      </c>
      <c r="G490" s="13">
        <f t="shared" si="73"/>
        <v>23587.163352165135</v>
      </c>
      <c r="AQ490">
        <v>467</v>
      </c>
      <c r="AR490" s="14">
        <v>0.65285887652213859</v>
      </c>
      <c r="AS490" s="13">
        <f t="shared" si="74"/>
        <v>6391.0623454489187</v>
      </c>
      <c r="AT490" s="9">
        <v>2.409472499889536</v>
      </c>
      <c r="AU490" s="13">
        <f t="shared" si="75"/>
        <v>23587.163352165135</v>
      </c>
    </row>
    <row r="491" spans="1:47" x14ac:dyDescent="0.35">
      <c r="A491">
        <f t="shared" si="70"/>
        <v>468</v>
      </c>
      <c r="B491" s="13">
        <f t="shared" si="71"/>
        <v>6205.0326065491217</v>
      </c>
      <c r="F491">
        <f t="shared" si="72"/>
        <v>468</v>
      </c>
      <c r="G491" s="13">
        <f t="shared" si="73"/>
        <v>23551.984077645862</v>
      </c>
      <c r="AQ491">
        <v>468</v>
      </c>
      <c r="AR491" s="14">
        <v>0.63385559353518506</v>
      </c>
      <c r="AS491" s="13">
        <f t="shared" si="74"/>
        <v>6205.0326065491217</v>
      </c>
      <c r="AT491" s="9">
        <v>2.4058788717260007</v>
      </c>
      <c r="AU491" s="13">
        <f t="shared" si="75"/>
        <v>23551.984077645862</v>
      </c>
    </row>
    <row r="492" spans="1:47" x14ac:dyDescent="0.35">
      <c r="A492">
        <f t="shared" si="70"/>
        <v>469</v>
      </c>
      <c r="B492" s="13">
        <f t="shared" si="71"/>
        <v>6018.5292412693079</v>
      </c>
      <c r="F492">
        <f t="shared" si="72"/>
        <v>469</v>
      </c>
      <c r="G492" s="13">
        <f t="shared" si="73"/>
        <v>23516.782245065628</v>
      </c>
      <c r="AQ492">
        <v>469</v>
      </c>
      <c r="AR492" s="14">
        <v>0.61480392873474976</v>
      </c>
      <c r="AS492" s="13">
        <f t="shared" si="74"/>
        <v>6018.5292412693079</v>
      </c>
      <c r="AT492" s="9">
        <v>2.4022829392146838</v>
      </c>
      <c r="AU492" s="13">
        <f t="shared" si="75"/>
        <v>23516.782245065628</v>
      </c>
    </row>
    <row r="493" spans="1:47" x14ac:dyDescent="0.35">
      <c r="A493">
        <f t="shared" si="70"/>
        <v>470</v>
      </c>
      <c r="B493" s="13">
        <f t="shared" si="71"/>
        <v>5831.5520574912571</v>
      </c>
      <c r="F493">
        <f t="shared" si="72"/>
        <v>470</v>
      </c>
      <c r="G493" s="13">
        <f t="shared" si="73"/>
        <v>23481.557888103991</v>
      </c>
      <c r="AQ493">
        <v>470</v>
      </c>
      <c r="AR493" s="14">
        <v>0.5957038624955997</v>
      </c>
      <c r="AS493" s="13">
        <f t="shared" si="74"/>
        <v>5831.5520574912571</v>
      </c>
      <c r="AT493" s="9">
        <v>2.3986847057960152</v>
      </c>
      <c r="AU493" s="13">
        <f t="shared" si="75"/>
        <v>23481.557888103991</v>
      </c>
    </row>
    <row r="494" spans="1:47" x14ac:dyDescent="0.35">
      <c r="A494">
        <f t="shared" si="70"/>
        <v>471</v>
      </c>
      <c r="B494" s="13">
        <f t="shared" si="71"/>
        <v>5644.1008634283589</v>
      </c>
      <c r="F494">
        <f t="shared" si="72"/>
        <v>471</v>
      </c>
      <c r="G494" s="13">
        <f t="shared" si="73"/>
        <v>23446.311040318673</v>
      </c>
      <c r="AQ494">
        <v>471</v>
      </c>
      <c r="AR494" s="14">
        <v>0.57655537522637701</v>
      </c>
      <c r="AS494" s="13">
        <f t="shared" si="74"/>
        <v>5644.1008634283589</v>
      </c>
      <c r="AT494" s="9">
        <v>2.3950841748979785</v>
      </c>
      <c r="AU494" s="13">
        <f t="shared" si="75"/>
        <v>23446.311040318673</v>
      </c>
    </row>
    <row r="495" spans="1:47" x14ac:dyDescent="0.35">
      <c r="A495">
        <f t="shared" si="70"/>
        <v>472</v>
      </c>
      <c r="B495" s="13">
        <f t="shared" si="71"/>
        <v>5456.1754676242554</v>
      </c>
      <c r="F495">
        <f t="shared" si="72"/>
        <v>472</v>
      </c>
      <c r="G495" s="13">
        <f t="shared" si="73"/>
        <v>23411.04173514622</v>
      </c>
      <c r="AQ495">
        <v>472</v>
      </c>
      <c r="AR495" s="14">
        <v>0.5573584473694595</v>
      </c>
      <c r="AS495" s="13">
        <f t="shared" si="74"/>
        <v>5456.1754676242554</v>
      </c>
      <c r="AT495" s="9">
        <v>2.3914813499361784</v>
      </c>
      <c r="AU495" s="13">
        <f t="shared" si="75"/>
        <v>23411.04173514622</v>
      </c>
    </row>
    <row r="496" spans="1:47" x14ac:dyDescent="0.35">
      <c r="A496">
        <f t="shared" si="70"/>
        <v>473</v>
      </c>
      <c r="B496" s="13">
        <f t="shared" si="71"/>
        <v>5267.7756789514488</v>
      </c>
      <c r="F496">
        <f t="shared" si="72"/>
        <v>473</v>
      </c>
      <c r="G496" s="13">
        <f t="shared" si="73"/>
        <v>23375.750005902726</v>
      </c>
      <c r="AQ496">
        <v>473</v>
      </c>
      <c r="AR496" s="14">
        <v>0.53811305940081855</v>
      </c>
      <c r="AS496" s="13">
        <f t="shared" si="74"/>
        <v>5267.7756789514488</v>
      </c>
      <c r="AT496" s="9">
        <v>2.3878762343139162</v>
      </c>
      <c r="AU496" s="13">
        <f t="shared" si="75"/>
        <v>23375.750005902726</v>
      </c>
    </row>
    <row r="497" spans="1:47" x14ac:dyDescent="0.35">
      <c r="A497">
        <f t="shared" si="70"/>
        <v>474</v>
      </c>
      <c r="B497" s="13">
        <f t="shared" si="71"/>
        <v>5078.9013066102907</v>
      </c>
      <c r="F497">
        <f t="shared" si="72"/>
        <v>474</v>
      </c>
      <c r="G497" s="13">
        <f t="shared" si="73"/>
        <v>23340.43588578446</v>
      </c>
      <c r="AQ497">
        <v>474</v>
      </c>
      <c r="AR497" s="14">
        <v>0.51881919182991609</v>
      </c>
      <c r="AS497" s="13">
        <f t="shared" si="74"/>
        <v>5078.9013066102907</v>
      </c>
      <c r="AT497" s="9">
        <v>2.3842688314222515</v>
      </c>
      <c r="AU497" s="13">
        <f t="shared" si="75"/>
        <v>23340.43588578446</v>
      </c>
    </row>
    <row r="498" spans="1:47" x14ac:dyDescent="0.35">
      <c r="A498">
        <f t="shared" si="70"/>
        <v>475</v>
      </c>
      <c r="B498" s="13">
        <f t="shared" si="71"/>
        <v>4889.5521601276178</v>
      </c>
      <c r="F498">
        <f t="shared" si="72"/>
        <v>475</v>
      </c>
      <c r="G498" s="13">
        <f t="shared" si="73"/>
        <v>23305.099407868671</v>
      </c>
      <c r="AQ498">
        <v>475</v>
      </c>
      <c r="AR498" s="14">
        <v>0.49947682519956516</v>
      </c>
      <c r="AS498" s="13">
        <f t="shared" si="74"/>
        <v>4889.5521601276178</v>
      </c>
      <c r="AT498" s="9">
        <v>2.380659144640088</v>
      </c>
      <c r="AU498" s="13">
        <f t="shared" si="75"/>
        <v>23305.099407868671</v>
      </c>
    </row>
    <row r="499" spans="1:47" x14ac:dyDescent="0.35">
      <c r="A499">
        <f t="shared" si="70"/>
        <v>476</v>
      </c>
      <c r="B499" s="13">
        <f t="shared" si="71"/>
        <v>4699.7280493553362</v>
      </c>
      <c r="F499">
        <f t="shared" si="72"/>
        <v>476</v>
      </c>
      <c r="G499" s="13">
        <f t="shared" si="73"/>
        <v>23269.740605114108</v>
      </c>
      <c r="AQ499">
        <v>476</v>
      </c>
      <c r="AR499" s="14">
        <v>0.48008594008578509</v>
      </c>
      <c r="AS499" s="13">
        <f t="shared" si="74"/>
        <v>4699.7280493553362</v>
      </c>
      <c r="AT499" s="9">
        <v>2.3770471773342221</v>
      </c>
      <c r="AU499" s="13">
        <f t="shared" si="75"/>
        <v>23269.740605114108</v>
      </c>
    </row>
    <row r="500" spans="1:47" x14ac:dyDescent="0.35">
      <c r="A500">
        <f t="shared" si="70"/>
        <v>477</v>
      </c>
      <c r="B500" s="13">
        <f t="shared" si="71"/>
        <v>4509.4287844693763</v>
      </c>
      <c r="F500">
        <f t="shared" si="72"/>
        <v>477</v>
      </c>
      <c r="G500" s="13">
        <f t="shared" si="73"/>
        <v>23234.359510361868</v>
      </c>
      <c r="AQ500">
        <v>477</v>
      </c>
      <c r="AR500" s="14">
        <v>0.460646517097695</v>
      </c>
      <c r="AS500" s="13">
        <f t="shared" si="74"/>
        <v>4509.4287844693763</v>
      </c>
      <c r="AT500" s="9">
        <v>2.3734329328594335</v>
      </c>
      <c r="AU500" s="13">
        <f t="shared" si="75"/>
        <v>23234.359510361868</v>
      </c>
    </row>
    <row r="501" spans="1:47" x14ac:dyDescent="0.35">
      <c r="A501">
        <f t="shared" si="70"/>
        <v>478</v>
      </c>
      <c r="B501" s="13">
        <f t="shared" si="71"/>
        <v>4318.6541759684669</v>
      </c>
      <c r="F501">
        <f t="shared" si="72"/>
        <v>478</v>
      </c>
      <c r="G501" s="13">
        <f t="shared" si="73"/>
        <v>23198.956156335858</v>
      </c>
      <c r="AQ501">
        <v>478</v>
      </c>
      <c r="AR501" s="14">
        <v>0.44115853687738849</v>
      </c>
      <c r="AS501" s="13">
        <f t="shared" si="74"/>
        <v>4318.6541759684669</v>
      </c>
      <c r="AT501" s="9">
        <v>2.369816414558529</v>
      </c>
      <c r="AU501" s="13">
        <f t="shared" si="75"/>
        <v>23198.956156335858</v>
      </c>
    </row>
    <row r="502" spans="1:47" x14ac:dyDescent="0.35">
      <c r="A502">
        <f t="shared" si="70"/>
        <v>479</v>
      </c>
      <c r="B502" s="13">
        <f t="shared" si="71"/>
        <v>4127.4040346728598</v>
      </c>
      <c r="F502">
        <f t="shared" si="72"/>
        <v>479</v>
      </c>
      <c r="G502" s="13">
        <f t="shared" si="73"/>
        <v>23163.530575643661</v>
      </c>
      <c r="AQ502">
        <v>479</v>
      </c>
      <c r="AR502" s="14">
        <v>0.42162198009980312</v>
      </c>
      <c r="AS502" s="13">
        <f t="shared" si="74"/>
        <v>4127.4040346728598</v>
      </c>
      <c r="AT502" s="9">
        <v>2.3661976257624344</v>
      </c>
      <c r="AU502" s="13">
        <f t="shared" si="75"/>
        <v>23163.530575643661</v>
      </c>
    </row>
    <row r="503" spans="1:47" x14ac:dyDescent="0.35">
      <c r="A503">
        <f t="shared" si="70"/>
        <v>480</v>
      </c>
      <c r="B503" s="13">
        <f t="shared" si="71"/>
        <v>3935.6781717230201</v>
      </c>
      <c r="F503">
        <f t="shared" si="72"/>
        <v>480</v>
      </c>
      <c r="G503" s="13">
        <f t="shared" si="73"/>
        <v>23128.082800777043</v>
      </c>
      <c r="AQ503">
        <v>480</v>
      </c>
      <c r="AR503" s="14">
        <v>0.40203682747258718</v>
      </c>
      <c r="AS503" s="13">
        <f t="shared" si="74"/>
        <v>3935.6781717230201</v>
      </c>
      <c r="AT503" s="9">
        <v>2.3625765697902437</v>
      </c>
      <c r="AU503" s="13">
        <f t="shared" si="75"/>
        <v>23128.082800777043</v>
      </c>
    </row>
    <row r="504" spans="1:47" x14ac:dyDescent="0.35">
      <c r="A504">
        <f t="shared" si="70"/>
        <v>481</v>
      </c>
      <c r="B504" s="13">
        <f t="shared" si="71"/>
        <v>3743.4763985786062</v>
      </c>
      <c r="F504">
        <f t="shared" si="72"/>
        <v>481</v>
      </c>
      <c r="G504" s="13">
        <f t="shared" si="73"/>
        <v>23092.612864112642</v>
      </c>
      <c r="AQ504">
        <v>481</v>
      </c>
      <c r="AR504" s="14">
        <v>0.38240305973599487</v>
      </c>
      <c r="AS504" s="13">
        <f t="shared" si="74"/>
        <v>3743.4763985786062</v>
      </c>
      <c r="AT504" s="9">
        <v>2.3589532499492907</v>
      </c>
      <c r="AU504" s="13">
        <f t="shared" si="75"/>
        <v>23092.612864112642</v>
      </c>
    </row>
    <row r="505" spans="1:47" x14ac:dyDescent="0.35">
      <c r="A505">
        <f t="shared" si="70"/>
        <v>482</v>
      </c>
      <c r="B505" s="13">
        <f t="shared" si="71"/>
        <v>3550.7985270171275</v>
      </c>
      <c r="F505">
        <f t="shared" si="72"/>
        <v>482</v>
      </c>
      <c r="G505" s="13">
        <f t="shared" si="73"/>
        <v>23057.12079791271</v>
      </c>
      <c r="AQ505">
        <v>482</v>
      </c>
      <c r="AR505" s="14">
        <v>0.36272065766274952</v>
      </c>
      <c r="AS505" s="13">
        <f t="shared" si="74"/>
        <v>3550.7985270171275</v>
      </c>
      <c r="AT505" s="9">
        <v>2.3553276695352245</v>
      </c>
      <c r="AU505" s="13">
        <f t="shared" si="75"/>
        <v>23057.12079791271</v>
      </c>
    </row>
    <row r="506" spans="1:47" x14ac:dyDescent="0.35">
      <c r="A506">
        <f t="shared" si="70"/>
        <v>483</v>
      </c>
      <c r="B506" s="13">
        <f t="shared" si="71"/>
        <v>3357.6443691328227</v>
      </c>
      <c r="F506">
        <f t="shared" si="72"/>
        <v>483</v>
      </c>
      <c r="G506" s="13">
        <f t="shared" si="73"/>
        <v>23021.606634325573</v>
      </c>
      <c r="AQ506">
        <v>483</v>
      </c>
      <c r="AR506" s="14">
        <v>0.34298960205792905</v>
      </c>
      <c r="AS506" s="13">
        <f t="shared" si="74"/>
        <v>3357.6443691328227</v>
      </c>
      <c r="AT506" s="9">
        <v>2.3516998318320557</v>
      </c>
      <c r="AU506" s="13">
        <f t="shared" si="75"/>
        <v>23021.606634325573</v>
      </c>
    </row>
    <row r="507" spans="1:47" x14ac:dyDescent="0.35">
      <c r="A507">
        <f t="shared" si="70"/>
        <v>484</v>
      </c>
      <c r="B507" s="13">
        <f t="shared" si="71"/>
        <v>3164.01373733534</v>
      </c>
      <c r="F507">
        <f t="shared" si="72"/>
        <v>484</v>
      </c>
      <c r="G507" s="13">
        <f t="shared" si="73"/>
        <v>22986.070405386468</v>
      </c>
      <c r="AQ507">
        <v>484</v>
      </c>
      <c r="AR507" s="14">
        <v>0.32320987375883092</v>
      </c>
      <c r="AS507" s="13">
        <f t="shared" si="74"/>
        <v>3164.01373733534</v>
      </c>
      <c r="AT507" s="9">
        <v>2.3480697401122437</v>
      </c>
      <c r="AU507" s="13">
        <f t="shared" si="75"/>
        <v>22986.070405386468</v>
      </c>
    </row>
    <row r="508" spans="1:47" x14ac:dyDescent="0.35">
      <c r="A508">
        <f t="shared" si="70"/>
        <v>485</v>
      </c>
      <c r="B508" s="13">
        <f t="shared" si="71"/>
        <v>2969.9064443488051</v>
      </c>
      <c r="F508">
        <f t="shared" si="72"/>
        <v>485</v>
      </c>
      <c r="G508" s="13">
        <f t="shared" si="73"/>
        <v>22950.512143018015</v>
      </c>
      <c r="AQ508">
        <v>485</v>
      </c>
      <c r="AR508" s="14">
        <v>0.30338145363487712</v>
      </c>
      <c r="AS508" s="13">
        <f t="shared" si="74"/>
        <v>2969.9064443488051</v>
      </c>
      <c r="AT508" s="9">
        <v>2.3444373976367427</v>
      </c>
      <c r="AU508" s="13">
        <f t="shared" si="75"/>
        <v>22950.512143018015</v>
      </c>
    </row>
    <row r="509" spans="1:47" x14ac:dyDescent="0.35">
      <c r="A509">
        <f t="shared" si="70"/>
        <v>486</v>
      </c>
      <c r="B509" s="13">
        <f t="shared" si="71"/>
        <v>2775.3223032105352</v>
      </c>
      <c r="F509">
        <f t="shared" si="72"/>
        <v>486</v>
      </c>
      <c r="G509" s="13">
        <f t="shared" si="73"/>
        <v>22914.93187903093</v>
      </c>
      <c r="AQ509">
        <v>486</v>
      </c>
      <c r="AR509" s="14">
        <v>0.2835043225874827</v>
      </c>
      <c r="AS509" s="13">
        <f t="shared" si="74"/>
        <v>2775.3223032105352</v>
      </c>
      <c r="AT509" s="9">
        <v>2.3408028076550771</v>
      </c>
      <c r="AU509" s="13">
        <f t="shared" si="75"/>
        <v>22914.93187903093</v>
      </c>
    </row>
    <row r="510" spans="1:47" x14ac:dyDescent="0.35">
      <c r="A510">
        <f t="shared" si="70"/>
        <v>487</v>
      </c>
      <c r="B510" s="13">
        <f t="shared" si="71"/>
        <v>2580.2611272695003</v>
      </c>
      <c r="F510">
        <f t="shared" si="72"/>
        <v>487</v>
      </c>
      <c r="G510" s="13">
        <f t="shared" si="73"/>
        <v>22879.329645124602</v>
      </c>
      <c r="AQ510">
        <v>487</v>
      </c>
      <c r="AR510" s="14">
        <v>0.26357846154989861</v>
      </c>
      <c r="AS510" s="13">
        <f t="shared" si="74"/>
        <v>2580.2611272695003</v>
      </c>
      <c r="AT510" s="9">
        <v>2.3371659734053978</v>
      </c>
      <c r="AU510" s="13">
        <f t="shared" si="75"/>
        <v>22879.329645124602</v>
      </c>
    </row>
    <row r="511" spans="1:47" x14ac:dyDescent="0.35">
      <c r="A511">
        <f t="shared" si="70"/>
        <v>488</v>
      </c>
      <c r="B511" s="13">
        <f t="shared" si="71"/>
        <v>2384.7227301858957</v>
      </c>
      <c r="F511">
        <f t="shared" si="72"/>
        <v>488</v>
      </c>
      <c r="G511" s="13">
        <f t="shared" si="73"/>
        <v>22843.705472887727</v>
      </c>
      <c r="AQ511">
        <v>488</v>
      </c>
      <c r="AR511" s="14">
        <v>0.24360385148716812</v>
      </c>
      <c r="AS511" s="13">
        <f t="shared" si="74"/>
        <v>2384.7227301858957</v>
      </c>
      <c r="AT511" s="9">
        <v>2.3335268981145489</v>
      </c>
      <c r="AU511" s="13">
        <f t="shared" si="75"/>
        <v>22843.705472887727</v>
      </c>
    </row>
    <row r="512" spans="1:47" x14ac:dyDescent="0.35">
      <c r="A512">
        <f t="shared" si="70"/>
        <v>489</v>
      </c>
      <c r="B512" s="13">
        <f t="shared" si="71"/>
        <v>2188.7069259293612</v>
      </c>
      <c r="F512">
        <f t="shared" si="72"/>
        <v>489</v>
      </c>
      <c r="G512" s="13">
        <f t="shared" si="73"/>
        <v>22808.059393798994</v>
      </c>
      <c r="AQ512">
        <v>489</v>
      </c>
      <c r="AR512" s="14">
        <v>0.22358047339594478</v>
      </c>
      <c r="AS512" s="13">
        <f t="shared" si="74"/>
        <v>2188.7069259293612</v>
      </c>
      <c r="AT512" s="9">
        <v>2.329885584998137</v>
      </c>
      <c r="AU512" s="13">
        <f t="shared" si="75"/>
        <v>22808.059393798994</v>
      </c>
    </row>
    <row r="513" spans="1:47" x14ac:dyDescent="0.35">
      <c r="A513">
        <f t="shared" si="70"/>
        <v>490</v>
      </c>
      <c r="B513" s="13">
        <f t="shared" si="71"/>
        <v>1992.2135287781725</v>
      </c>
      <c r="F513">
        <f t="shared" si="72"/>
        <v>490</v>
      </c>
      <c r="G513" s="13">
        <f t="shared" si="73"/>
        <v>22772.391439227536</v>
      </c>
      <c r="AQ513">
        <v>490</v>
      </c>
      <c r="AR513" s="14">
        <v>0.2035083083044098</v>
      </c>
      <c r="AS513" s="13">
        <f t="shared" si="74"/>
        <v>1992.2135287781725</v>
      </c>
      <c r="AT513" s="9">
        <v>2.3262420372605774</v>
      </c>
      <c r="AU513" s="13">
        <f t="shared" si="75"/>
        <v>22772.391439227536</v>
      </c>
    </row>
    <row r="514" spans="1:47" x14ac:dyDescent="0.35">
      <c r="A514">
        <f t="shared" si="70"/>
        <v>491</v>
      </c>
      <c r="B514" s="13">
        <f t="shared" si="71"/>
        <v>1795.2423533179096</v>
      </c>
      <c r="F514">
        <f t="shared" si="72"/>
        <v>491</v>
      </c>
      <c r="G514" s="13">
        <f t="shared" si="73"/>
        <v>22736.701640433661</v>
      </c>
      <c r="AQ514">
        <v>491</v>
      </c>
      <c r="AR514" s="14">
        <v>0.18338733727213619</v>
      </c>
      <c r="AS514" s="13">
        <f t="shared" si="74"/>
        <v>1795.2423533179096</v>
      </c>
      <c r="AT514" s="9">
        <v>2.3225962580951673</v>
      </c>
      <c r="AU514" s="13">
        <f t="shared" si="75"/>
        <v>22736.701640433661</v>
      </c>
    </row>
    <row r="515" spans="1:47" x14ac:dyDescent="0.35">
      <c r="A515">
        <f t="shared" si="70"/>
        <v>492</v>
      </c>
      <c r="B515" s="13">
        <f t="shared" si="71"/>
        <v>1597.7932144403358</v>
      </c>
      <c r="F515">
        <f t="shared" si="72"/>
        <v>492</v>
      </c>
      <c r="G515" s="13">
        <f t="shared" si="73"/>
        <v>22700.990028569398</v>
      </c>
      <c r="AQ515">
        <v>492</v>
      </c>
      <c r="AR515" s="14">
        <v>0.16321754138997413</v>
      </c>
      <c r="AS515" s="13">
        <f t="shared" si="74"/>
        <v>1597.7932144403358</v>
      </c>
      <c r="AT515" s="9">
        <v>2.3189482506841461</v>
      </c>
      <c r="AU515" s="13">
        <f t="shared" si="75"/>
        <v>22700.990028569398</v>
      </c>
    </row>
    <row r="516" spans="1:47" x14ac:dyDescent="0.35">
      <c r="A516">
        <f t="shared" si="70"/>
        <v>493</v>
      </c>
      <c r="B516" s="13">
        <f t="shared" si="71"/>
        <v>1399.8659273425287</v>
      </c>
      <c r="F516">
        <f t="shared" si="72"/>
        <v>493</v>
      </c>
      <c r="G516" s="13">
        <f t="shared" si="73"/>
        <v>22665.256634679099</v>
      </c>
      <c r="AQ516">
        <v>493</v>
      </c>
      <c r="AR516" s="14">
        <v>0.14299890177996222</v>
      </c>
      <c r="AS516" s="13">
        <f t="shared" si="74"/>
        <v>1399.8659273425287</v>
      </c>
      <c r="AT516" s="9">
        <v>2.3152980181987513</v>
      </c>
      <c r="AU516" s="13">
        <f t="shared" si="75"/>
        <v>22665.256634679099</v>
      </c>
    </row>
    <row r="517" spans="1:47" x14ac:dyDescent="0.35">
      <c r="A517">
        <f t="shared" si="70"/>
        <v>494</v>
      </c>
      <c r="B517" s="13">
        <f t="shared" si="71"/>
        <v>1201.4603075253406</v>
      </c>
      <c r="F517">
        <f t="shared" si="72"/>
        <v>494</v>
      </c>
      <c r="G517" s="13">
        <f t="shared" si="73"/>
        <v>22629.501489700055</v>
      </c>
      <c r="AQ517">
        <v>494</v>
      </c>
      <c r="AR517" s="14">
        <v>0.12273139959517021</v>
      </c>
      <c r="AS517" s="13">
        <f t="shared" si="74"/>
        <v>1201.4603075253406</v>
      </c>
      <c r="AT517" s="9">
        <v>2.3116455637992837</v>
      </c>
      <c r="AU517" s="13">
        <f t="shared" si="75"/>
        <v>22629.501489700055</v>
      </c>
    </row>
    <row r="518" spans="1:47" x14ac:dyDescent="0.35">
      <c r="A518">
        <f t="shared" si="70"/>
        <v>495</v>
      </c>
      <c r="B518" s="13">
        <f t="shared" si="71"/>
        <v>1002.5761707928253</v>
      </c>
      <c r="F518">
        <f t="shared" si="72"/>
        <v>495</v>
      </c>
      <c r="G518" s="13">
        <f t="shared" si="73"/>
        <v>22593.724624463077</v>
      </c>
      <c r="AQ518">
        <v>495</v>
      </c>
      <c r="AR518" s="14">
        <v>0.10241501601964043</v>
      </c>
      <c r="AS518" s="13">
        <f t="shared" si="74"/>
        <v>1002.5761707928253</v>
      </c>
      <c r="AT518" s="9">
        <v>2.3079908906351689</v>
      </c>
      <c r="AU518" s="13">
        <f t="shared" si="75"/>
        <v>22593.724624463077</v>
      </c>
    </row>
    <row r="519" spans="1:47" x14ac:dyDescent="0.35">
      <c r="A519">
        <f t="shared" si="70"/>
        <v>496</v>
      </c>
      <c r="B519" s="13">
        <f t="shared" si="71"/>
        <v>803.21333325049886</v>
      </c>
      <c r="F519">
        <f t="shared" si="72"/>
        <v>496</v>
      </c>
      <c r="G519" s="13">
        <f t="shared" si="73"/>
        <v>22557.926069692978</v>
      </c>
      <c r="AQ519">
        <v>496</v>
      </c>
      <c r="AR519" s="14">
        <v>8.2049732268210107E-2</v>
      </c>
      <c r="AS519" s="13">
        <f t="shared" si="74"/>
        <v>803.21333325049886</v>
      </c>
      <c r="AT519" s="9">
        <v>2.3043340018450031</v>
      </c>
      <c r="AU519" s="13">
        <f t="shared" si="75"/>
        <v>22557.926069692978</v>
      </c>
    </row>
    <row r="520" spans="1:47" x14ac:dyDescent="0.35">
      <c r="A520">
        <f t="shared" si="70"/>
        <v>497</v>
      </c>
      <c r="B520" s="13">
        <f t="shared" si="71"/>
        <v>603.37161130463437</v>
      </c>
      <c r="F520">
        <f t="shared" si="72"/>
        <v>497</v>
      </c>
      <c r="G520" s="13">
        <f t="shared" si="73"/>
        <v>22522.105856009326</v>
      </c>
      <c r="AQ520">
        <v>497</v>
      </c>
      <c r="AR520" s="14">
        <v>6.1635529586439475E-2</v>
      </c>
      <c r="AS520" s="13">
        <f t="shared" si="74"/>
        <v>603.37161130463437</v>
      </c>
      <c r="AT520" s="9">
        <v>2.3006749005566318</v>
      </c>
      <c r="AU520" s="13">
        <f t="shared" si="75"/>
        <v>22522.105856009326</v>
      </c>
    </row>
    <row r="521" spans="1:47" x14ac:dyDescent="0.35">
      <c r="A521">
        <f t="shared" si="70"/>
        <v>498</v>
      </c>
      <c r="B521" s="13">
        <f t="shared" si="71"/>
        <v>403.05082166125533</v>
      </c>
      <c r="F521">
        <f t="shared" si="72"/>
        <v>498</v>
      </c>
      <c r="G521" s="13">
        <f t="shared" si="73"/>
        <v>22486.264013926888</v>
      </c>
      <c r="AQ521">
        <v>498</v>
      </c>
      <c r="AR521" s="14">
        <v>4.1172389250508701E-2</v>
      </c>
      <c r="AS521" s="13">
        <f t="shared" si="74"/>
        <v>403.05082166125533</v>
      </c>
      <c r="AT521" s="9">
        <v>2.2970135898871957</v>
      </c>
      <c r="AU521" s="13">
        <f t="shared" si="75"/>
        <v>22486.264013926888</v>
      </c>
    </row>
    <row r="522" spans="1:47" x14ac:dyDescent="0.35">
      <c r="A522">
        <f t="shared" si="70"/>
        <v>499</v>
      </c>
      <c r="B522" s="13">
        <f t="shared" si="71"/>
        <v>202.25078132463847</v>
      </c>
      <c r="F522">
        <f t="shared" si="72"/>
        <v>499</v>
      </c>
      <c r="G522" s="13">
        <f t="shared" si="73"/>
        <v>22450.400573856201</v>
      </c>
      <c r="AQ522">
        <v>499</v>
      </c>
      <c r="AR522" s="14">
        <v>2.0660292567065142E-2</v>
      </c>
      <c r="AS522" s="13">
        <f t="shared" si="74"/>
        <v>202.25078132463847</v>
      </c>
      <c r="AT522" s="9">
        <v>2.2933500729431873</v>
      </c>
      <c r="AU522" s="13">
        <f t="shared" si="75"/>
        <v>22450.400573856201</v>
      </c>
    </row>
    <row r="523" spans="1:47" x14ac:dyDescent="0.35">
      <c r="A523">
        <f t="shared" si="70"/>
        <v>500</v>
      </c>
      <c r="B523" s="13">
        <f t="shared" si="71"/>
        <v>0.97130759654948051</v>
      </c>
      <c r="F523">
        <f t="shared" si="72"/>
        <v>500</v>
      </c>
      <c r="G523" s="13">
        <f t="shared" si="73"/>
        <v>22414.515566104237</v>
      </c>
      <c r="AQ523">
        <v>500</v>
      </c>
      <c r="AR523" s="14">
        <v>9.9220873145178246E-5</v>
      </c>
      <c r="AS523" s="13">
        <f t="shared" si="74"/>
        <v>0.97130759654948051</v>
      </c>
      <c r="AT523" s="9">
        <v>2.2896843528205197</v>
      </c>
      <c r="AU523" s="13">
        <f t="shared" si="75"/>
        <v>22414.515566104237</v>
      </c>
    </row>
  </sheetData>
  <phoneticPr fontId="3" type="noConversion"/>
  <dataValidations count="11">
    <dataValidation type="list" allowBlank="1" showInputMessage="1" showErrorMessage="1" sqref="B14 G14" xr:uid="{5C6CFD17-00B3-4133-9994-FA70ACE9F898}">
      <formula1>"DDC-1T+, D5"</formula1>
    </dataValidation>
    <dataValidation type="list" allowBlank="1" showInputMessage="1" showErrorMessage="1" sqref="J71:J73" xr:uid="{6880FFB0-B754-4BA0-A114-9FDE9411649C}">
      <formula1>"Einschraub Einlass 8 mm, Einschraub Einlass 10 mm, Einschraub Einlass 13 mm"</formula1>
    </dataValidation>
    <dataValidation type="list" allowBlank="1" showInputMessage="1" showErrorMessage="1" sqref="J74:J76" xr:uid="{69DF24FC-364E-419B-8DBC-7EF6FFC03240}">
      <formula1>"Einschraub Auslass 8 mm, Einschraub Auslass 10 mm, Einschraub Auslass 13 mm"</formula1>
    </dataValidation>
    <dataValidation type="list" allowBlank="1" showInputMessage="1" showErrorMessage="1" sqref="J77:J79" xr:uid="{0A71D357-EA13-4D04-9702-1E38AEC17C99}">
      <formula1>"Einschraub Einlass 8 mm 90°, Einschraub Einlass 10 mm 90°, Einschraub Einlass 13 mm 90°"</formula1>
    </dataValidation>
    <dataValidation type="list" allowBlank="1" showInputMessage="1" showErrorMessage="1" sqref="J80:J82" xr:uid="{D0675932-A02A-49CD-BFAB-78DA5E13A21F}">
      <formula1>"Einschraub Auslass 8 mm 90°, Einschraub Auslass 10 mm 90°, Einschraub Auslass 13 mm 90°"</formula1>
    </dataValidation>
    <dataValidation type="list" allowBlank="1" showInputMessage="1" showErrorMessage="1" sqref="J83:J85" xr:uid="{F90B8C3C-5B54-48AB-8A8B-D805371F6BCF}">
      <formula1>"Einschraub Einlass 8 mm 45°, Einschraub Einlass 10 mm 45°, Einschraub Einlass 13 mm 45°"</formula1>
    </dataValidation>
    <dataValidation type="list" allowBlank="1" showInputMessage="1" showErrorMessage="1" sqref="J86:J88" xr:uid="{44E9090A-DC08-4BEE-A5A3-F282D9A96200}">
      <formula1>"Einschraub Auslass 8 mm 45°, Einschraub Auslass 10 mm 45°, Einschraub Auslass 13 mm 45°"</formula1>
    </dataValidation>
    <dataValidation type="list" allowBlank="1" showInputMessage="1" showErrorMessage="1" sqref="J89:J91" xr:uid="{664E3286-7635-458F-9232-84CCF21F871B}">
      <formula1>"Winkel 8 mm 90°, Winkel 10 mm 90°, Winkel 13 mm 90°"</formula1>
    </dataValidation>
    <dataValidation type="list" allowBlank="1" showInputMessage="1" showErrorMessage="1" sqref="J92:J94" xr:uid="{B3696EC4-F2BD-40B0-BECF-DC2EF0D1F43A}">
      <formula1>"Winkel 8 mm 45°, Winkel 10 mm 45°, Winkel 13 mm 45°"</formula1>
    </dataValidation>
    <dataValidation type="list" allowBlank="1" showInputMessage="1" showErrorMessage="1" sqref="J126:J135" xr:uid="{95725B54-DE93-4481-87CF-5F13D08F644F}">
      <mc:AlternateContent xmlns:x12ac="http://schemas.microsoft.com/office/spreadsheetml/2011/1/ac" xmlns:mc="http://schemas.openxmlformats.org/markup-compatibility/2006">
        <mc:Choice Requires="x12ac">
          <x12ac:list>"Schlauch 8 mm 0,5 Meter"," Schlauch 10 mm 0,5 Meter"," Schlauch 13 mm 0,5 Meter"," PETG Rohr 8 mm 0,5 Meter"," PETG Rohr 10 mm 0,5 Meter"," PETG Rohr 13 mm 0,5 Meter"," CU Rohr 8 mm 0,5 Meter"," CU Rohr 10 mm 0,5 Meter"," CU Rohr 13 mm 0,5 Meter"</x12ac:list>
        </mc:Choice>
        <mc:Fallback>
          <formula1>"Schlauch 8 mm 0,5 Meter, Schlauch 10 mm 0,5 Meter, Schlauch 13 mm 0,5 Meter, PETG Rohr 8 mm 0,5 Meter, PETG Rohr 10 mm 0,5 Meter, PETG Rohr 13 mm 0,5 Meter, CU Rohr 8 mm 0,5 Meter, CU Rohr 10 mm 0,5 Meter, CU Rohr 13 mm 0,5 Meter"</formula1>
        </mc:Fallback>
      </mc:AlternateContent>
    </dataValidation>
    <dataValidation type="list" allowBlank="1" showInputMessage="1" showErrorMessage="1" sqref="K155 K161 K167 K173 K179 K185 K191 K197 K203 K209" xr:uid="{ADC3704E-023B-4813-8EE4-2E22C8794A4B}">
      <formula1>"90, 75, 60, 45, 30, 15"</formula1>
    </dataValidation>
  </dataValidation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E14C9-43DE-4A0F-9FF3-51389590B1AF}">
  <dimension ref="A1"/>
  <sheetViews>
    <sheetView topLeftCell="A31" workbookViewId="0">
      <selection activeCell="U26" sqref="U26"/>
    </sheetView>
  </sheetViews>
  <sheetFormatPr baseColWidth="10" defaultRowHeight="14.5" x14ac:dyDescent="0.35"/>
  <sheetData/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405A2-82C3-4335-8125-C4F8BEA91E29}">
  <dimension ref="A1"/>
  <sheetViews>
    <sheetView topLeftCell="A40" workbookViewId="0">
      <selection activeCell="O70" sqref="O70"/>
    </sheetView>
  </sheetViews>
  <sheetFormatPr baseColWidth="10" defaultRowHeight="14.5" x14ac:dyDescent="0.3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Vergleich </vt:lpstr>
      <vt:lpstr>Restriktionsanteil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Windows-Benutzer</cp:lastModifiedBy>
  <dcterms:created xsi:type="dcterms:W3CDTF">2020-03-23T14:03:07Z</dcterms:created>
  <dcterms:modified xsi:type="dcterms:W3CDTF">2020-03-24T16:00:31Z</dcterms:modified>
</cp:coreProperties>
</file>