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mxbo\Desktop\"/>
    </mc:Choice>
  </mc:AlternateContent>
  <xr:revisionPtr revIDLastSave="0" documentId="13_ncr:1_{0F0DBCC9-7A94-4DD5-B903-5AED38E83BA9}" xr6:coauthVersionLast="47" xr6:coauthVersionMax="47" xr10:uidLastSave="{00000000-0000-0000-0000-000000000000}"/>
  <bookViews>
    <workbookView xWindow="51480" yWindow="-120" windowWidth="38640" windowHeight="16440" xr2:uid="{5FF02CBB-6264-4A0F-9168-7090D771FF3D}"/>
  </bookViews>
  <sheets>
    <sheet name="v0.2" sheetId="1" r:id="rId1"/>
    <sheet name="Calcul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5" i="1" l="1"/>
  <c r="C12" i="2"/>
  <c r="I7" i="1"/>
  <c r="I8" i="1"/>
  <c r="R43" i="2"/>
  <c r="X12" i="1" s="1"/>
  <c r="Q43" i="2"/>
  <c r="X11" i="1" s="1"/>
  <c r="N20" i="2"/>
  <c r="M20" i="2"/>
  <c r="L20" i="2"/>
  <c r="C8" i="2"/>
  <c r="D50" i="2" s="1"/>
  <c r="D42" i="2"/>
  <c r="C42" i="2"/>
  <c r="D41" i="2"/>
  <c r="C41" i="2"/>
  <c r="F13" i="2"/>
  <c r="E13" i="2"/>
  <c r="D13" i="2"/>
  <c r="C13" i="2"/>
  <c r="C7" i="2"/>
  <c r="C50" i="2" s="1"/>
  <c r="H19" i="2"/>
  <c r="D19" i="2"/>
  <c r="F19" i="2" s="1"/>
  <c r="G19" i="2"/>
  <c r="C19" i="2"/>
  <c r="E19" i="2" s="1"/>
  <c r="H18" i="2"/>
  <c r="D18" i="2"/>
  <c r="F18" i="2" s="1"/>
  <c r="G18" i="2"/>
  <c r="H17" i="2"/>
  <c r="D40" i="2" s="1"/>
  <c r="D17" i="2"/>
  <c r="F17" i="2" s="1"/>
  <c r="G17" i="2"/>
  <c r="C40" i="2" s="1"/>
  <c r="C17" i="2"/>
  <c r="E17" i="2" s="1"/>
  <c r="C18" i="2"/>
  <c r="E18" i="2" s="1"/>
  <c r="C6" i="2"/>
  <c r="C54" i="2" l="1"/>
  <c r="D54" i="2"/>
  <c r="D25" i="2"/>
  <c r="E25" i="2"/>
  <c r="N12" i="1" s="1"/>
  <c r="C25" i="2"/>
  <c r="N11" i="1" s="1"/>
  <c r="C60" i="2"/>
  <c r="Q60" i="2" s="1"/>
  <c r="AM8" i="1" s="1"/>
  <c r="D60" i="2"/>
  <c r="C61" i="2"/>
  <c r="R61" i="2" s="1"/>
  <c r="AM15" i="1" s="1"/>
  <c r="D44" i="2"/>
  <c r="M40" i="2" s="1"/>
  <c r="M42" i="2" s="1"/>
  <c r="C44" i="2"/>
  <c r="L40" i="2" s="1"/>
  <c r="C30" i="2"/>
  <c r="D30" i="2"/>
  <c r="C32" i="2"/>
  <c r="D32" i="2"/>
  <c r="E12" i="2"/>
  <c r="F12" i="2"/>
  <c r="C55" i="2"/>
  <c r="AH11" i="1" s="1"/>
  <c r="C26" i="2"/>
  <c r="N15" i="1" s="1"/>
  <c r="D12" i="2"/>
  <c r="R60" i="2" l="1"/>
  <c r="M60" i="2"/>
  <c r="AM12" i="1" s="1"/>
  <c r="AH7" i="1"/>
  <c r="E24" i="2"/>
  <c r="D24" i="2"/>
  <c r="F24" i="2" s="1"/>
  <c r="N8" i="1" s="1"/>
  <c r="C24" i="2"/>
  <c r="N7" i="1" s="1"/>
  <c r="L41" i="2"/>
  <c r="L42" i="2"/>
  <c r="L43" i="2"/>
  <c r="X7" i="1" s="1"/>
  <c r="M43" i="2"/>
  <c r="X8" i="1" s="1"/>
  <c r="M41" i="2"/>
  <c r="D59" i="2"/>
  <c r="C59" i="2"/>
  <c r="Q59" i="2" s="1"/>
  <c r="AM7" i="1" s="1"/>
  <c r="O17" i="2"/>
  <c r="D33" i="2"/>
  <c r="C33" i="2"/>
  <c r="D31" i="2"/>
  <c r="C31" i="2"/>
  <c r="R59" i="2" l="1"/>
  <c r="M59" i="2"/>
  <c r="AM11" i="1" s="1"/>
  <c r="O18" i="2"/>
  <c r="O19" i="2"/>
  <c r="O20" i="2" s="1"/>
  <c r="D34" i="2"/>
  <c r="C34" i="2"/>
  <c r="D48" i="2" l="1"/>
  <c r="D49" i="2" s="1"/>
  <c r="C48" i="2"/>
  <c r="C36" i="2"/>
  <c r="L30" i="2" s="1"/>
  <c r="L31" i="2"/>
  <c r="L33" i="2" s="1"/>
  <c r="D36" i="2"/>
  <c r="M30" i="2" s="1"/>
  <c r="M31" i="2"/>
  <c r="C49" i="2" l="1"/>
  <c r="L49" i="2"/>
  <c r="L48" i="2"/>
  <c r="L50" i="2"/>
  <c r="L35" i="2"/>
  <c r="N33" i="2" s="1"/>
  <c r="S7" i="1" s="1"/>
  <c r="M33" i="2"/>
  <c r="M48" i="2"/>
  <c r="M49" i="2" s="1"/>
  <c r="K52" i="2" l="1"/>
  <c r="K53" i="2" s="1"/>
  <c r="M35" i="2"/>
  <c r="O33" i="2" s="1"/>
  <c r="S8" i="1" s="1"/>
  <c r="L34" i="2"/>
  <c r="M34" i="2"/>
  <c r="M50" i="2"/>
  <c r="M51" i="2" s="1"/>
  <c r="L51" i="2" l="1"/>
  <c r="AC7" i="1" s="1"/>
  <c r="AC11" i="1" s="1"/>
  <c r="L52" i="2"/>
  <c r="AC8" i="1"/>
  <c r="AC12" i="1" s="1"/>
  <c r="R48" i="2"/>
  <c r="Q48" i="2" l="1"/>
</calcChain>
</file>

<file path=xl/sharedStrings.xml><?xml version="1.0" encoding="utf-8"?>
<sst xmlns="http://schemas.openxmlformats.org/spreadsheetml/2006/main" count="249" uniqueCount="108">
  <si>
    <t>Gewicht</t>
  </si>
  <si>
    <t>Gewicht in KG</t>
  </si>
  <si>
    <t>Reifen</t>
  </si>
  <si>
    <t>Grip-Level</t>
  </si>
  <si>
    <t>Querbeschleunigung</t>
  </si>
  <si>
    <t>Aerodynamik</t>
  </si>
  <si>
    <t>Balance</t>
  </si>
  <si>
    <t>Federn</t>
  </si>
  <si>
    <t>Dämpfer</t>
  </si>
  <si>
    <t>Vorne</t>
  </si>
  <si>
    <t>Hinten</t>
  </si>
  <si>
    <t>Verteilung</t>
  </si>
  <si>
    <t>Gewicht%</t>
  </si>
  <si>
    <t>Aero%</t>
  </si>
  <si>
    <t>Werte</t>
  </si>
  <si>
    <t>Reifenbreite%</t>
  </si>
  <si>
    <t>Stabilisatoren</t>
  </si>
  <si>
    <t>Koeffizient Federn</t>
  </si>
  <si>
    <t>Koeffizient Stabilisatoren</t>
  </si>
  <si>
    <t>Dämpfung</t>
  </si>
  <si>
    <t>Verteilung Zug</t>
  </si>
  <si>
    <t>Verteilung Druck</t>
  </si>
  <si>
    <t>Spur</t>
  </si>
  <si>
    <t>Sturz</t>
  </si>
  <si>
    <t>Nachlauf</t>
  </si>
  <si>
    <t>Federn RWD Offset</t>
  </si>
  <si>
    <t>Bremsen</t>
  </si>
  <si>
    <t>Verhältnis</t>
  </si>
  <si>
    <t>Druck</t>
  </si>
  <si>
    <t>Federrate Min</t>
  </si>
  <si>
    <t>Federrate Max</t>
  </si>
  <si>
    <t>RWD</t>
  </si>
  <si>
    <t>AWD</t>
  </si>
  <si>
    <t>Federrate Min | Max</t>
  </si>
  <si>
    <t>Stabilistaor</t>
  </si>
  <si>
    <t>Front</t>
  </si>
  <si>
    <t>Back</t>
  </si>
  <si>
    <t>Federn Offset</t>
  </si>
  <si>
    <t>Federn Mittelwert</t>
  </si>
  <si>
    <t>Verteilung Gewicht, Aero, Reifen</t>
  </si>
  <si>
    <t>Verteilung Querbeschleunigung</t>
  </si>
  <si>
    <t>Aero</t>
  </si>
  <si>
    <t>Härte Offset</t>
  </si>
  <si>
    <t>RWD Offset</t>
  </si>
  <si>
    <t>Stabilisator Final RWD</t>
  </si>
  <si>
    <t>Stabilisator Final AWD</t>
  </si>
  <si>
    <t>Differenzial</t>
  </si>
  <si>
    <t>Presets</t>
  </si>
  <si>
    <t>Aggressiv</t>
  </si>
  <si>
    <t>Extrem</t>
  </si>
  <si>
    <t>Default</t>
  </si>
  <si>
    <t>Selected</t>
  </si>
  <si>
    <t>Stabilisator</t>
  </si>
  <si>
    <t>Federhärte</t>
  </si>
  <si>
    <t>Antriebsart</t>
  </si>
  <si>
    <t>FWD</t>
  </si>
  <si>
    <t>Preset</t>
  </si>
  <si>
    <t>Grundwerte</t>
  </si>
  <si>
    <t>Bremse</t>
  </si>
  <si>
    <t>Radsturz</t>
  </si>
  <si>
    <t>Heck</t>
  </si>
  <si>
    <t>Nachlauf vorn</t>
  </si>
  <si>
    <t>Winkel</t>
  </si>
  <si>
    <t>Fahrhöhe</t>
  </si>
  <si>
    <t>Zugstufe</t>
  </si>
  <si>
    <t>Druckstufe</t>
  </si>
  <si>
    <t>Bremskraft</t>
  </si>
  <si>
    <t>Beschleunigung</t>
  </si>
  <si>
    <t>Abbremsen</t>
  </si>
  <si>
    <t>Mitte</t>
  </si>
  <si>
    <t>Front %</t>
  </si>
  <si>
    <t>Breite Front</t>
  </si>
  <si>
    <t>Breite Heck</t>
  </si>
  <si>
    <t>Auswahl:</t>
  </si>
  <si>
    <t>Untergrund</t>
  </si>
  <si>
    <t>Asphalt</t>
  </si>
  <si>
    <t>Rally</t>
  </si>
  <si>
    <t>Querfeldein</t>
  </si>
  <si>
    <t>Max</t>
  </si>
  <si>
    <t>Differenzial FWD</t>
  </si>
  <si>
    <t>Differenzial RWD</t>
  </si>
  <si>
    <t>Differenzial AWD</t>
  </si>
  <si>
    <t>•</t>
  </si>
  <si>
    <t>Reifenmischung</t>
  </si>
  <si>
    <t>Reifendruck</t>
  </si>
  <si>
    <t>Straße</t>
  </si>
  <si>
    <t>Sport</t>
  </si>
  <si>
    <t>Semi-Slick</t>
  </si>
  <si>
    <t>Slick</t>
  </si>
  <si>
    <t>Offroad</t>
  </si>
  <si>
    <t>Drag</t>
  </si>
  <si>
    <t>Drift</t>
  </si>
  <si>
    <t>Winter</t>
  </si>
  <si>
    <t>V Straße</t>
  </si>
  <si>
    <t>V Sport</t>
  </si>
  <si>
    <t>V Slick</t>
  </si>
  <si>
    <t>V Drift</t>
  </si>
  <si>
    <t>V Rally</t>
  </si>
  <si>
    <t>V Offroad</t>
  </si>
  <si>
    <t>V Drag</t>
  </si>
  <si>
    <t>V Winter</t>
  </si>
  <si>
    <t>V Semi-Slick</t>
  </si>
  <si>
    <t xml:space="preserve">Beschleunigung </t>
  </si>
  <si>
    <t>P.Holder</t>
  </si>
  <si>
    <t>Laterale G-Kräfte</t>
  </si>
  <si>
    <t>Diff Multi</t>
  </si>
  <si>
    <t>Aero 0,43</t>
  </si>
  <si>
    <t>Mech 0,63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</si>
</sst>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4" borderId="0" xfId="0" applyFill="1"/>
    <xf numFmtId="0" fontId="0" fillId="5" borderId="0" xfId="0" applyFill="1"/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4" borderId="0" xfId="0" applyFont="1" applyFill="1"/>
    <xf numFmtId="2" fontId="0" fillId="2" borderId="0" xfId="0" applyNumberFormat="1" applyFill="1"/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2" fontId="1" fillId="5" borderId="0" xfId="0" applyNumberFormat="1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horizontal="center" vertical="center"/>
    </xf>
    <xf numFmtId="1" fontId="1" fillId="5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vertical="top"/>
    </xf>
    <xf numFmtId="1" fontId="0" fillId="5" borderId="0" xfId="0" applyNumberFormat="1" applyFill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0" fontId="4" fillId="4" borderId="0" xfId="0" applyFont="1" applyFill="1" applyAlignment="1">
      <alignment horizontal="left"/>
    </xf>
    <xf numFmtId="164" fontId="0" fillId="0" borderId="0" xfId="0" applyNumberForma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BC8A0-E6BC-48E0-A92C-27F477EDF056}">
  <dimension ref="B3:AN31"/>
  <sheetViews>
    <sheetView tabSelected="1" zoomScaleNormal="100" workbookViewId="0">
      <selection activeCell="C21" sqref="C21"/>
    </sheetView>
  </sheetViews>
  <sheetFormatPr baseColWidth="10" defaultRowHeight="15" x14ac:dyDescent="0.25"/>
  <cols>
    <col min="1" max="1" width="3.28515625" style="1" customWidth="1"/>
    <col min="2" max="2" width="2.28515625" style="1" customWidth="1"/>
    <col min="3" max="3" width="20.7109375" style="1" customWidth="1"/>
    <col min="4" max="4" width="11.7109375" style="22" customWidth="1"/>
    <col min="5" max="5" width="2.28515625" style="1" customWidth="1"/>
    <col min="6" max="6" width="1.7109375" style="1" customWidth="1"/>
    <col min="7" max="7" width="2.28515625" style="1" customWidth="1"/>
    <col min="8" max="8" width="20.7109375" style="1" customWidth="1"/>
    <col min="9" max="9" width="11.7109375" style="27" customWidth="1"/>
    <col min="10" max="10" width="2.28515625" style="1" customWidth="1"/>
    <col min="11" max="11" width="1.7109375" style="1" customWidth="1"/>
    <col min="12" max="12" width="2.28515625" style="1" customWidth="1"/>
    <col min="13" max="13" width="20.7109375" style="1" customWidth="1"/>
    <col min="14" max="14" width="11.7109375" style="22" customWidth="1"/>
    <col min="15" max="15" width="2.28515625" style="1" customWidth="1"/>
    <col min="16" max="16" width="1.7109375" style="1" customWidth="1"/>
    <col min="17" max="17" width="2.28515625" style="1" customWidth="1"/>
    <col min="18" max="18" width="20.7109375" style="1" customWidth="1"/>
    <col min="19" max="19" width="11.7109375" style="27" customWidth="1"/>
    <col min="20" max="20" width="2.28515625" style="1" customWidth="1"/>
    <col min="21" max="21" width="1.7109375" style="1" customWidth="1"/>
    <col min="22" max="22" width="2.28515625" style="1" customWidth="1"/>
    <col min="23" max="23" width="20.7109375" style="1" customWidth="1"/>
    <col min="24" max="24" width="11.7109375" style="27" customWidth="1"/>
    <col min="25" max="25" width="2.28515625" style="1" customWidth="1"/>
    <col min="26" max="26" width="1.7109375" style="1" customWidth="1"/>
    <col min="27" max="27" width="2.28515625" style="1" customWidth="1"/>
    <col min="28" max="28" width="20.7109375" style="1" customWidth="1"/>
    <col min="29" max="29" width="11.7109375" style="30" customWidth="1"/>
    <col min="30" max="30" width="2.28515625" style="1" customWidth="1"/>
    <col min="31" max="31" width="1.7109375" style="1" customWidth="1"/>
    <col min="32" max="32" width="2.28515625" style="1" customWidth="1"/>
    <col min="33" max="33" width="20.7109375" style="1" customWidth="1"/>
    <col min="34" max="34" width="11.7109375" style="30" customWidth="1"/>
    <col min="35" max="37" width="2.28515625" style="1" customWidth="1"/>
    <col min="38" max="38" width="20.7109375" style="1" customWidth="1"/>
    <col min="39" max="39" width="11.7109375" style="1" customWidth="1"/>
    <col min="40" max="40" width="2.28515625" style="1" customWidth="1"/>
    <col min="41" max="16384" width="11.42578125" style="1"/>
  </cols>
  <sheetData>
    <row r="3" spans="2:40" x14ac:dyDescent="0.25">
      <c r="B3" s="11"/>
      <c r="C3" s="11"/>
      <c r="D3" s="21"/>
      <c r="E3" s="11"/>
      <c r="G3" s="11"/>
      <c r="H3" s="11"/>
      <c r="I3" s="26"/>
      <c r="J3" s="11"/>
      <c r="L3" s="11"/>
      <c r="M3" s="11"/>
      <c r="N3" s="26"/>
      <c r="O3" s="11"/>
      <c r="Q3" s="11"/>
      <c r="R3" s="11"/>
      <c r="S3" s="21"/>
      <c r="T3" s="11"/>
      <c r="V3" s="11"/>
      <c r="W3" s="11"/>
      <c r="X3" s="26"/>
      <c r="Y3" s="11"/>
      <c r="AA3" s="11"/>
      <c r="AB3" s="11"/>
      <c r="AC3" s="26"/>
      <c r="AD3" s="11"/>
      <c r="AF3" s="11"/>
      <c r="AG3" s="11"/>
      <c r="AH3" s="28"/>
      <c r="AI3" s="11"/>
      <c r="AK3" s="11"/>
      <c r="AL3" s="11"/>
      <c r="AM3" s="28"/>
      <c r="AN3" s="11"/>
    </row>
    <row r="4" spans="2:40" ht="26.25" x14ac:dyDescent="0.4">
      <c r="B4" s="11"/>
      <c r="C4" s="18" t="s">
        <v>57</v>
      </c>
      <c r="D4" s="21"/>
      <c r="E4" s="11"/>
      <c r="G4" s="11"/>
      <c r="H4" s="18" t="s">
        <v>2</v>
      </c>
      <c r="I4" s="26"/>
      <c r="J4" s="11"/>
      <c r="L4" s="11"/>
      <c r="M4" s="18" t="s">
        <v>22</v>
      </c>
      <c r="N4" s="26"/>
      <c r="O4" s="11"/>
      <c r="Q4" s="11"/>
      <c r="R4" s="18" t="s">
        <v>16</v>
      </c>
      <c r="S4" s="21"/>
      <c r="T4" s="11"/>
      <c r="V4" s="11"/>
      <c r="W4" s="18" t="s">
        <v>7</v>
      </c>
      <c r="X4" s="26"/>
      <c r="Y4" s="11"/>
      <c r="AA4" s="11"/>
      <c r="AB4" s="18" t="s">
        <v>8</v>
      </c>
      <c r="AC4" s="26"/>
      <c r="AD4" s="11"/>
      <c r="AF4" s="11"/>
      <c r="AG4" s="18" t="s">
        <v>58</v>
      </c>
      <c r="AH4" s="28"/>
      <c r="AI4" s="11"/>
      <c r="AK4" s="11"/>
      <c r="AL4" s="18" t="s">
        <v>46</v>
      </c>
      <c r="AM4" s="28"/>
      <c r="AN4" s="11"/>
    </row>
    <row r="5" spans="2:40" x14ac:dyDescent="0.25">
      <c r="B5" s="11"/>
      <c r="C5" s="11"/>
      <c r="D5" s="21"/>
      <c r="E5" s="11"/>
      <c r="G5" s="11"/>
      <c r="H5" s="11"/>
      <c r="I5" s="26"/>
      <c r="J5" s="11"/>
      <c r="L5" s="11"/>
      <c r="M5" s="11"/>
      <c r="N5" s="26"/>
      <c r="O5" s="11"/>
      <c r="Q5" s="11"/>
      <c r="R5" s="11"/>
      <c r="S5" s="21"/>
      <c r="T5" s="11"/>
      <c r="V5" s="11"/>
      <c r="W5" s="11"/>
      <c r="X5" s="26"/>
      <c r="Y5" s="11"/>
      <c r="AA5" s="11"/>
      <c r="AB5" s="11"/>
      <c r="AC5" s="26"/>
      <c r="AD5" s="11"/>
      <c r="AF5" s="11"/>
      <c r="AG5" s="11"/>
      <c r="AH5" s="28"/>
      <c r="AI5" s="11"/>
      <c r="AK5" s="11"/>
      <c r="AL5" s="11"/>
      <c r="AM5" s="28"/>
      <c r="AN5" s="11"/>
    </row>
    <row r="6" spans="2:40" x14ac:dyDescent="0.25">
      <c r="B6" s="11"/>
      <c r="C6" s="2" t="s">
        <v>0</v>
      </c>
      <c r="D6" s="21"/>
      <c r="E6" s="11"/>
      <c r="G6" s="11"/>
      <c r="H6" s="2" t="s">
        <v>84</v>
      </c>
      <c r="I6" s="26"/>
      <c r="J6" s="11"/>
      <c r="L6" s="11"/>
      <c r="M6" s="2" t="s">
        <v>59</v>
      </c>
      <c r="N6" s="26"/>
      <c r="O6" s="11"/>
      <c r="Q6" s="11"/>
      <c r="R6" s="2" t="s">
        <v>16</v>
      </c>
      <c r="S6" s="21"/>
      <c r="T6" s="11"/>
      <c r="V6" s="11"/>
      <c r="W6" s="2" t="s">
        <v>7</v>
      </c>
      <c r="X6" s="26"/>
      <c r="Y6" s="11"/>
      <c r="AA6" s="11"/>
      <c r="AB6" s="2" t="s">
        <v>64</v>
      </c>
      <c r="AC6" s="26"/>
      <c r="AD6" s="11"/>
      <c r="AF6" s="11"/>
      <c r="AG6" s="2" t="s">
        <v>66</v>
      </c>
      <c r="AH6" s="28"/>
      <c r="AI6" s="11"/>
      <c r="AK6" s="11"/>
      <c r="AL6" s="2" t="s">
        <v>35</v>
      </c>
      <c r="AM6" s="28"/>
      <c r="AN6" s="11"/>
    </row>
    <row r="7" spans="2:40" x14ac:dyDescent="0.25">
      <c r="B7" s="11"/>
      <c r="C7" s="1" t="s">
        <v>1</v>
      </c>
      <c r="D7" s="23">
        <v>1500</v>
      </c>
      <c r="E7" s="11"/>
      <c r="G7" s="11"/>
      <c r="H7" s="1" t="s">
        <v>35</v>
      </c>
      <c r="I7" s="25" t="str">
        <f>IF(D15="Straße",Calculator!Q4,IF(D15="Sport",Calculator!Q5,IF(D15="Semi-Slick",Calculator!Q6,IF(D15="Slick",Calculator!Q7,IF(D15="Drift",Calculator!Q8,IF(D15="Rally",Calculator!Q9,IF(D15="Offroad",Calculator!Q10,IF(D15="Winter",Calculator!Q11,Calculator!Q12))))))))</f>
        <v>V Straße</v>
      </c>
      <c r="J7" s="11"/>
      <c r="L7" s="11"/>
      <c r="M7" s="1" t="s">
        <v>35</v>
      </c>
      <c r="N7" s="25">
        <f>IF(D27="Rally",Calculator!C24*0.8,IF(D27="Querfeldein",Calculator!C24*0.67,Calculator!C24))</f>
        <v>-1.2</v>
      </c>
      <c r="O7" s="11"/>
      <c r="Q7" s="11"/>
      <c r="R7" s="1" t="s">
        <v>35</v>
      </c>
      <c r="S7" s="25">
        <f>IF(D27="Asphalt",Calculator!N33,Calculator!N33*0.33)</f>
        <v>20.434524270841404</v>
      </c>
      <c r="T7" s="11"/>
      <c r="V7" s="11"/>
      <c r="W7" s="1" t="s">
        <v>35</v>
      </c>
      <c r="X7" s="25">
        <f>IF(D27="Asphalt",Calculator!L43,Calculator!L43*0.78)</f>
        <v>90.92334240000001</v>
      </c>
      <c r="Y7" s="11"/>
      <c r="AA7" s="11"/>
      <c r="AB7" s="1" t="s">
        <v>35</v>
      </c>
      <c r="AC7" s="25">
        <f>IF(D27="Rally",Calculator!L51*0.8,IF(D27="Querfeldein",Calculator!L51*0.67,Calculator!L51))</f>
        <v>11.315414879999999</v>
      </c>
      <c r="AD7" s="11"/>
      <c r="AF7" s="11"/>
      <c r="AG7" s="1" t="s">
        <v>6</v>
      </c>
      <c r="AH7" s="29">
        <f>IF(D30="Default",Calculator!C54,Calculator!D54)</f>
        <v>51</v>
      </c>
      <c r="AI7" s="11"/>
      <c r="AK7" s="11"/>
      <c r="AL7" s="1" t="s">
        <v>67</v>
      </c>
      <c r="AM7" s="29" t="str">
        <f>IF(D24="RWD",Calculator!L59,IF(D24="AWD",Calculator!Q59,Calculator!U59))</f>
        <v>•</v>
      </c>
      <c r="AN7" s="11"/>
    </row>
    <row r="8" spans="2:40" x14ac:dyDescent="0.25">
      <c r="B8" s="11"/>
      <c r="C8" s="1" t="s">
        <v>70</v>
      </c>
      <c r="D8" s="23">
        <v>50</v>
      </c>
      <c r="E8" s="11"/>
      <c r="G8" s="11"/>
      <c r="H8" s="1" t="s">
        <v>60</v>
      </c>
      <c r="I8" s="25" t="str">
        <f>IF(D15="Straße",Calculator!R4,IF(D15="Sport",Calculator!R5,IF(D15="Semi-Slick",Calculator!R6,IF(D15="Slick",Calculator!R7,IF(D15="Drift",Calculator!R8,IF(D15="Rally",Calculator!R9,IF(D15="Offroad",Calculator!R10,IF(D15="Winter",Calculator!R11,Calculator!R12))))))))</f>
        <v>Straße</v>
      </c>
      <c r="J8" s="11"/>
      <c r="L8" s="11"/>
      <c r="M8" s="1" t="s">
        <v>60</v>
      </c>
      <c r="N8" s="25">
        <f>IF(D27="Rally",Calculator!F24*0.8,IF(D27="Querfeldein",Calculator!F24*0.67,Calculator!F24))</f>
        <v>-0.96</v>
      </c>
      <c r="O8" s="11"/>
      <c r="Q8" s="11"/>
      <c r="R8" s="1" t="s">
        <v>60</v>
      </c>
      <c r="S8" s="25">
        <f>IF(D27="Asphalt",Calculator!O33,Calculator!O33*0.33)</f>
        <v>40.226205719163467</v>
      </c>
      <c r="T8" s="11"/>
      <c r="V8" s="11"/>
      <c r="W8" s="1" t="s">
        <v>60</v>
      </c>
      <c r="X8" s="25">
        <f>IF(D27="Asphalt",Calculator!M43,Calculator!M43*0.78)</f>
        <v>99.062260517647076</v>
      </c>
      <c r="Y8" s="11"/>
      <c r="AA8" s="11"/>
      <c r="AB8" s="1" t="s">
        <v>60</v>
      </c>
      <c r="AC8" s="25">
        <f>IF(D27="Rally",Calculator!M51*0.8,IF(D27="Querfeldein",Calculator!M51*0.67,Calculator!M51))</f>
        <v>12.146112</v>
      </c>
      <c r="AD8" s="11"/>
      <c r="AF8" s="11"/>
      <c r="AG8" s="11"/>
      <c r="AH8" s="28"/>
      <c r="AI8" s="11"/>
      <c r="AK8" s="11"/>
      <c r="AL8" s="1" t="s">
        <v>68</v>
      </c>
      <c r="AM8" s="29" t="str">
        <f>IF(D24="RWD",Calculator!L60,IF(D24="AWD",Calculator!Q60,Calculator!U60))</f>
        <v>•</v>
      </c>
      <c r="AN8" s="11"/>
    </row>
    <row r="9" spans="2:40" x14ac:dyDescent="0.25">
      <c r="B9" s="11"/>
      <c r="C9" s="11"/>
      <c r="D9" s="21"/>
      <c r="E9" s="11"/>
      <c r="G9" s="11"/>
      <c r="H9" s="11"/>
      <c r="I9" s="26"/>
      <c r="J9" s="11"/>
      <c r="L9" s="11"/>
      <c r="M9" s="11"/>
      <c r="N9" s="26"/>
      <c r="O9" s="11"/>
      <c r="Q9" s="11"/>
      <c r="R9" s="11"/>
      <c r="S9" s="21"/>
      <c r="T9" s="11"/>
      <c r="V9" s="11"/>
      <c r="W9" s="11"/>
      <c r="X9" s="26"/>
      <c r="Y9" s="11"/>
      <c r="AA9" s="11"/>
      <c r="AB9" s="11"/>
      <c r="AC9" s="26"/>
      <c r="AD9" s="11"/>
      <c r="AF9" s="11"/>
      <c r="AG9" s="11"/>
      <c r="AH9" s="28"/>
      <c r="AI9" s="11"/>
      <c r="AK9" s="11"/>
      <c r="AL9" s="11"/>
      <c r="AM9" s="28"/>
      <c r="AN9" s="11"/>
    </row>
    <row r="10" spans="2:40" x14ac:dyDescent="0.25">
      <c r="B10" s="11"/>
      <c r="C10" s="2" t="s">
        <v>2</v>
      </c>
      <c r="D10" s="21"/>
      <c r="E10" s="11"/>
      <c r="G10" s="11"/>
      <c r="H10" s="11"/>
      <c r="I10" s="26"/>
      <c r="J10" s="11"/>
      <c r="L10" s="11"/>
      <c r="M10" s="2" t="s">
        <v>22</v>
      </c>
      <c r="N10" s="26"/>
      <c r="O10" s="11"/>
      <c r="Q10" s="11"/>
      <c r="R10" s="11"/>
      <c r="S10" s="21"/>
      <c r="T10" s="11"/>
      <c r="V10" s="11"/>
      <c r="W10" s="2" t="s">
        <v>63</v>
      </c>
      <c r="X10" s="26"/>
      <c r="Y10" s="11"/>
      <c r="AA10" s="11"/>
      <c r="AB10" s="2" t="s">
        <v>65</v>
      </c>
      <c r="AC10" s="26"/>
      <c r="AD10" s="11"/>
      <c r="AF10" s="11"/>
      <c r="AG10" s="2" t="s">
        <v>66</v>
      </c>
      <c r="AH10" s="28"/>
      <c r="AI10" s="11"/>
      <c r="AK10" s="11"/>
      <c r="AL10" s="2" t="s">
        <v>60</v>
      </c>
      <c r="AM10" s="28"/>
      <c r="AN10" s="11"/>
    </row>
    <row r="11" spans="2:40" x14ac:dyDescent="0.25">
      <c r="B11" s="11"/>
      <c r="C11" s="1" t="s">
        <v>71</v>
      </c>
      <c r="D11" s="20">
        <v>215</v>
      </c>
      <c r="E11" s="11"/>
      <c r="G11" s="11"/>
      <c r="H11" s="11"/>
      <c r="I11" s="26"/>
      <c r="J11" s="11"/>
      <c r="L11" s="11"/>
      <c r="M11" s="1" t="s">
        <v>35</v>
      </c>
      <c r="N11" s="25">
        <f>Calculator!C25</f>
        <v>0.11764705882352941</v>
      </c>
      <c r="O11" s="11"/>
      <c r="Q11" s="11"/>
      <c r="R11" s="11"/>
      <c r="S11" s="21"/>
      <c r="T11" s="11"/>
      <c r="V11" s="11"/>
      <c r="W11" s="1" t="s">
        <v>35</v>
      </c>
      <c r="X11" s="25" t="str">
        <f>Calculator!Q43</f>
        <v>Default</v>
      </c>
      <c r="Y11" s="11"/>
      <c r="AA11" s="11"/>
      <c r="AB11" s="1" t="s">
        <v>35</v>
      </c>
      <c r="AC11" s="25">
        <f>AC7*0.33</f>
        <v>3.7340869103999998</v>
      </c>
      <c r="AD11" s="11"/>
      <c r="AF11" s="11"/>
      <c r="AG11" s="1" t="s">
        <v>28</v>
      </c>
      <c r="AH11" s="29">
        <f>Calculator!C55</f>
        <v>104</v>
      </c>
      <c r="AI11" s="11"/>
      <c r="AK11" s="11"/>
      <c r="AL11" s="1" t="s">
        <v>67</v>
      </c>
      <c r="AM11" s="29">
        <f>IF(D24="RWD",Calculator!M59,IF(D24="AWD",Calculator!R59,Calculator!V59))</f>
        <v>65.416666666666671</v>
      </c>
      <c r="AN11" s="11"/>
    </row>
    <row r="12" spans="2:40" x14ac:dyDescent="0.25">
      <c r="B12" s="11"/>
      <c r="C12" s="1" t="s">
        <v>72</v>
      </c>
      <c r="D12" s="20">
        <v>215</v>
      </c>
      <c r="E12" s="11"/>
      <c r="G12" s="11"/>
      <c r="H12" s="11"/>
      <c r="I12" s="26"/>
      <c r="J12" s="11"/>
      <c r="L12" s="11"/>
      <c r="M12" s="1" t="s">
        <v>60</v>
      </c>
      <c r="N12" s="25">
        <f>IF(D24="AWD",Calculator!E25,Calculator!D25)</f>
        <v>-0.1</v>
      </c>
      <c r="O12" s="11"/>
      <c r="Q12" s="11"/>
      <c r="R12" s="11"/>
      <c r="S12" s="21"/>
      <c r="T12" s="11"/>
      <c r="V12" s="11"/>
      <c r="W12" s="1" t="s">
        <v>60</v>
      </c>
      <c r="X12" s="25" t="str">
        <f>Calculator!R43</f>
        <v>Default</v>
      </c>
      <c r="Y12" s="11"/>
      <c r="AA12" s="11"/>
      <c r="AB12" s="1" t="s">
        <v>60</v>
      </c>
      <c r="AC12" s="25">
        <f>AC8*0.33</f>
        <v>4.0082169600000004</v>
      </c>
      <c r="AD12" s="11"/>
      <c r="AF12" s="11"/>
      <c r="AG12" s="11"/>
      <c r="AH12" s="28"/>
      <c r="AI12" s="11"/>
      <c r="AK12" s="11"/>
      <c r="AL12" s="1" t="s">
        <v>68</v>
      </c>
      <c r="AM12" s="29">
        <f>IF(D24="RWD",Calculator!M60,IF(D24="AWD",Calculator!R60,Calculator!V60))</f>
        <v>23</v>
      </c>
      <c r="AN12" s="11"/>
    </row>
    <row r="13" spans="2:40" x14ac:dyDescent="0.25">
      <c r="B13" s="11"/>
      <c r="C13" s="11"/>
      <c r="D13" s="21"/>
      <c r="E13" s="11"/>
      <c r="G13" s="11"/>
      <c r="H13" s="11"/>
      <c r="I13" s="26"/>
      <c r="J13" s="11"/>
      <c r="L13" s="11"/>
      <c r="M13" s="11"/>
      <c r="N13" s="26"/>
      <c r="O13" s="11"/>
      <c r="Q13" s="11"/>
      <c r="R13" s="11"/>
      <c r="S13" s="21"/>
      <c r="T13" s="11"/>
      <c r="V13" s="11"/>
      <c r="W13" s="11"/>
      <c r="X13" s="26"/>
      <c r="Y13" s="11"/>
      <c r="AA13" s="11"/>
      <c r="AB13" s="11"/>
      <c r="AC13" s="26"/>
      <c r="AD13" s="11"/>
      <c r="AF13" s="11"/>
      <c r="AG13" s="11"/>
      <c r="AH13" s="28"/>
      <c r="AI13" s="11"/>
      <c r="AK13" s="11"/>
      <c r="AL13" s="11"/>
      <c r="AM13" s="28"/>
      <c r="AN13" s="11"/>
    </row>
    <row r="14" spans="2:40" x14ac:dyDescent="0.25">
      <c r="B14" s="11"/>
      <c r="C14" s="2" t="s">
        <v>2</v>
      </c>
      <c r="D14" s="21"/>
      <c r="E14" s="11"/>
      <c r="G14" s="11"/>
      <c r="H14" s="11"/>
      <c r="I14" s="26"/>
      <c r="J14" s="11"/>
      <c r="L14" s="11"/>
      <c r="M14" s="2" t="s">
        <v>61</v>
      </c>
      <c r="N14" s="26"/>
      <c r="O14" s="11"/>
      <c r="Q14" s="11"/>
      <c r="R14" s="11"/>
      <c r="S14" s="21"/>
      <c r="T14" s="11"/>
      <c r="V14" s="11"/>
      <c r="W14" s="11"/>
      <c r="X14" s="26"/>
      <c r="Y14" s="11"/>
      <c r="AA14" s="11"/>
      <c r="AB14" s="11"/>
      <c r="AC14" s="26"/>
      <c r="AD14" s="11"/>
      <c r="AF14" s="11"/>
      <c r="AG14" s="11"/>
      <c r="AH14" s="28"/>
      <c r="AI14" s="11"/>
      <c r="AK14" s="11"/>
      <c r="AL14" s="2" t="s">
        <v>69</v>
      </c>
      <c r="AM14" s="28"/>
      <c r="AN14" s="11"/>
    </row>
    <row r="15" spans="2:40" ht="15.75" x14ac:dyDescent="0.25">
      <c r="B15" s="11"/>
      <c r="C15" s="1" t="s">
        <v>83</v>
      </c>
      <c r="D15" s="20" t="s">
        <v>85</v>
      </c>
      <c r="E15" s="11"/>
      <c r="G15" s="11"/>
      <c r="H15" s="11"/>
      <c r="I15" s="26"/>
      <c r="J15" s="11"/>
      <c r="L15" s="11"/>
      <c r="M15" s="1" t="s">
        <v>62</v>
      </c>
      <c r="N15" s="25">
        <f>IF(D27="Rally",Calculator!C26*0.85,IF(D27="Querfeldein",Calculator!C26*0.73,Calculator!C26))</f>
        <v>6.5</v>
      </c>
      <c r="O15" s="11"/>
      <c r="Q15" s="11"/>
      <c r="R15" s="11"/>
      <c r="S15" s="21"/>
      <c r="T15" s="11"/>
      <c r="V15" s="11"/>
      <c r="W15" s="37" t="str">
        <f>IF(D27="Asphalt","","    ! Rally Fahrwerk verbauen !")</f>
        <v/>
      </c>
      <c r="X15" s="26"/>
      <c r="Y15" s="11"/>
      <c r="AA15" s="11"/>
      <c r="AB15" s="11"/>
      <c r="AC15" s="26"/>
      <c r="AD15" s="11"/>
      <c r="AF15" s="11"/>
      <c r="AG15" s="11"/>
      <c r="AH15" s="28"/>
      <c r="AI15" s="11"/>
      <c r="AK15" s="11"/>
      <c r="AL15" s="1" t="s">
        <v>6</v>
      </c>
      <c r="AM15" s="29" t="str">
        <f>IF(D24="AWD",Calculator!R61,"•")</f>
        <v>•</v>
      </c>
      <c r="AN15" s="11"/>
    </row>
    <row r="16" spans="2:40" x14ac:dyDescent="0.25">
      <c r="B16" s="11"/>
      <c r="C16" s="11"/>
      <c r="D16" s="21"/>
      <c r="E16" s="11"/>
      <c r="G16" s="11"/>
      <c r="H16" s="11"/>
      <c r="I16" s="26"/>
      <c r="J16" s="11"/>
      <c r="L16" s="11"/>
      <c r="M16" s="11"/>
      <c r="N16" s="26"/>
      <c r="O16" s="11"/>
      <c r="Q16" s="11"/>
      <c r="R16" s="11"/>
      <c r="S16" s="21"/>
      <c r="T16" s="11"/>
      <c r="V16" s="11"/>
      <c r="W16" s="11"/>
      <c r="X16" s="26"/>
      <c r="Y16" s="11"/>
      <c r="AA16" s="11"/>
      <c r="AB16" s="11"/>
      <c r="AC16" s="26"/>
      <c r="AD16" s="11"/>
      <c r="AF16" s="11"/>
      <c r="AG16" s="11"/>
      <c r="AH16" s="28"/>
      <c r="AI16" s="11"/>
      <c r="AK16" s="11"/>
      <c r="AL16" s="11"/>
      <c r="AM16" s="28"/>
      <c r="AN16" s="11"/>
    </row>
    <row r="17" spans="2:40" x14ac:dyDescent="0.25">
      <c r="B17" s="11"/>
      <c r="C17" s="2" t="s">
        <v>5</v>
      </c>
      <c r="D17" s="21"/>
      <c r="E17" s="11"/>
      <c r="G17" s="11"/>
      <c r="H17" s="11"/>
      <c r="I17" s="26"/>
      <c r="J17" s="11"/>
      <c r="L17" s="11"/>
      <c r="M17" s="11"/>
      <c r="N17" s="26"/>
      <c r="O17" s="11"/>
      <c r="Q17" s="11"/>
      <c r="R17" s="11"/>
      <c r="S17" s="21"/>
      <c r="T17" s="11"/>
      <c r="V17" s="11"/>
      <c r="W17" s="11"/>
      <c r="X17" s="26"/>
      <c r="Y17" s="11"/>
      <c r="AA17" s="11"/>
      <c r="AB17" s="11"/>
      <c r="AC17" s="26"/>
      <c r="AD17" s="11"/>
      <c r="AF17" s="11"/>
      <c r="AG17" s="11"/>
      <c r="AH17" s="28"/>
      <c r="AI17" s="11"/>
      <c r="AK17" s="11"/>
      <c r="AL17" s="11"/>
      <c r="AM17" s="28"/>
      <c r="AN17" s="11"/>
    </row>
    <row r="18" spans="2:40" x14ac:dyDescent="0.25">
      <c r="B18" s="11"/>
      <c r="C18" s="1" t="s">
        <v>6</v>
      </c>
      <c r="D18" s="24">
        <v>0.35</v>
      </c>
      <c r="E18" s="11"/>
      <c r="G18" s="11"/>
      <c r="H18" s="11"/>
      <c r="I18" s="26"/>
      <c r="J18" s="11"/>
      <c r="L18" s="11"/>
      <c r="M18" s="11"/>
      <c r="N18" s="26"/>
      <c r="O18" s="11"/>
      <c r="Q18" s="11"/>
      <c r="R18" s="11"/>
      <c r="S18" s="21"/>
      <c r="T18" s="11"/>
      <c r="V18" s="11"/>
      <c r="W18" s="11"/>
      <c r="X18" s="26"/>
      <c r="Y18" s="11"/>
      <c r="AA18" s="11"/>
      <c r="AB18" s="11"/>
      <c r="AC18" s="26"/>
      <c r="AD18" s="11"/>
      <c r="AF18" s="11"/>
      <c r="AG18" s="11"/>
      <c r="AH18" s="28"/>
      <c r="AI18" s="11"/>
      <c r="AK18" s="11"/>
      <c r="AL18" s="11"/>
      <c r="AM18" s="28"/>
      <c r="AN18" s="11"/>
    </row>
    <row r="19" spans="2:40" x14ac:dyDescent="0.25">
      <c r="B19" s="11"/>
      <c r="C19" s="11"/>
      <c r="D19" s="21"/>
      <c r="E19" s="11"/>
      <c r="F19" s="19"/>
      <c r="G19" s="11"/>
      <c r="H19" s="11"/>
      <c r="I19" s="26"/>
      <c r="J19" s="11"/>
      <c r="L19" s="11"/>
      <c r="M19" s="11"/>
      <c r="N19" s="26"/>
      <c r="O19" s="11"/>
      <c r="Q19" s="11"/>
      <c r="R19" s="11"/>
      <c r="S19" s="21"/>
      <c r="T19" s="11"/>
      <c r="V19" s="11"/>
      <c r="W19" s="11"/>
      <c r="X19" s="26"/>
      <c r="Y19" s="11"/>
      <c r="AA19" s="11"/>
      <c r="AB19" s="11"/>
      <c r="AC19" s="26"/>
      <c r="AD19" s="11"/>
      <c r="AF19" s="11"/>
      <c r="AG19" s="11"/>
      <c r="AH19" s="28"/>
      <c r="AI19" s="11"/>
      <c r="AK19" s="11"/>
      <c r="AL19" s="11"/>
      <c r="AM19" s="28"/>
      <c r="AN19" s="11"/>
    </row>
    <row r="20" spans="2:40" x14ac:dyDescent="0.25">
      <c r="B20" s="11"/>
      <c r="C20" s="2" t="s">
        <v>3</v>
      </c>
      <c r="D20" s="21"/>
      <c r="E20" s="11"/>
      <c r="G20" s="11"/>
      <c r="H20" s="11"/>
      <c r="I20" s="26"/>
      <c r="J20" s="11"/>
      <c r="L20" s="11"/>
      <c r="M20" s="11"/>
      <c r="N20" s="26"/>
      <c r="O20" s="11"/>
      <c r="Q20" s="11"/>
      <c r="R20" s="11"/>
      <c r="S20" s="21"/>
      <c r="T20" s="11"/>
      <c r="V20" s="11"/>
      <c r="W20" s="11"/>
      <c r="X20" s="26"/>
      <c r="Y20" s="11"/>
      <c r="AA20" s="11"/>
      <c r="AB20" s="11"/>
      <c r="AC20" s="26"/>
      <c r="AD20" s="11"/>
      <c r="AF20" s="11"/>
      <c r="AG20" s="11"/>
      <c r="AH20" s="28"/>
      <c r="AI20" s="11"/>
      <c r="AK20" s="11"/>
      <c r="AL20" s="11"/>
      <c r="AM20" s="28"/>
      <c r="AN20" s="11"/>
    </row>
    <row r="21" spans="2:40" x14ac:dyDescent="0.25">
      <c r="B21" s="11"/>
      <c r="C21" s="1" t="s">
        <v>104</v>
      </c>
      <c r="D21" s="25">
        <v>2</v>
      </c>
      <c r="E21" s="11"/>
      <c r="G21" s="11"/>
      <c r="H21" s="11"/>
      <c r="I21" s="26"/>
      <c r="J21" s="11"/>
      <c r="L21" s="11"/>
      <c r="M21" s="11"/>
      <c r="N21" s="26"/>
      <c r="O21" s="11"/>
      <c r="Q21" s="11"/>
      <c r="R21" s="11"/>
      <c r="S21" s="21"/>
      <c r="T21" s="11"/>
      <c r="V21" s="11"/>
      <c r="W21" s="11"/>
      <c r="X21" s="26"/>
      <c r="Y21" s="11"/>
      <c r="AA21" s="11"/>
      <c r="AB21" s="11"/>
      <c r="AC21" s="26"/>
      <c r="AD21" s="11"/>
      <c r="AF21" s="11"/>
      <c r="AG21" s="11"/>
      <c r="AH21" s="28"/>
      <c r="AI21" s="11"/>
      <c r="AK21" s="11"/>
      <c r="AL21" s="11"/>
      <c r="AM21" s="28"/>
      <c r="AN21" s="11"/>
    </row>
    <row r="22" spans="2:40" x14ac:dyDescent="0.25">
      <c r="B22" s="11"/>
      <c r="C22" s="11"/>
      <c r="D22" s="21"/>
      <c r="E22" s="11"/>
      <c r="G22" s="11"/>
      <c r="H22" s="11"/>
      <c r="I22" s="26"/>
      <c r="J22" s="11"/>
      <c r="L22" s="11"/>
      <c r="M22" s="11"/>
      <c r="N22" s="26"/>
      <c r="O22" s="11"/>
      <c r="Q22" s="11"/>
      <c r="R22" s="11"/>
      <c r="S22" s="21"/>
      <c r="T22" s="11"/>
      <c r="V22" s="11"/>
      <c r="W22" s="11"/>
      <c r="X22" s="26"/>
      <c r="Y22" s="11"/>
      <c r="AA22" s="11"/>
      <c r="AB22" s="11"/>
      <c r="AC22" s="26"/>
      <c r="AD22" s="11"/>
      <c r="AF22" s="11"/>
      <c r="AG22" s="11"/>
      <c r="AH22" s="28"/>
      <c r="AI22" s="11"/>
      <c r="AK22" s="11"/>
      <c r="AL22" s="11"/>
      <c r="AM22" s="28"/>
      <c r="AN22" s="11"/>
    </row>
    <row r="23" spans="2:40" x14ac:dyDescent="0.25">
      <c r="B23" s="11"/>
      <c r="C23" s="2" t="s">
        <v>54</v>
      </c>
      <c r="D23" s="21"/>
      <c r="E23" s="11"/>
      <c r="G23" s="11"/>
      <c r="H23" s="11"/>
      <c r="I23" s="26"/>
      <c r="J23" s="11"/>
      <c r="L23" s="11"/>
      <c r="M23" s="11"/>
      <c r="N23" s="26"/>
      <c r="O23" s="11"/>
      <c r="Q23" s="11"/>
      <c r="R23" s="11"/>
      <c r="S23" s="21"/>
      <c r="T23" s="11"/>
      <c r="V23" s="11"/>
      <c r="W23" s="11"/>
      <c r="X23" s="26"/>
      <c r="Y23" s="11"/>
      <c r="AA23" s="11"/>
      <c r="AB23" s="11"/>
      <c r="AC23" s="26"/>
      <c r="AD23" s="11"/>
      <c r="AF23" s="11"/>
      <c r="AG23" s="11"/>
      <c r="AH23" s="28"/>
      <c r="AI23" s="11"/>
      <c r="AK23" s="11"/>
      <c r="AL23" s="11"/>
      <c r="AM23" s="28"/>
      <c r="AN23" s="11"/>
    </row>
    <row r="24" spans="2:40" x14ac:dyDescent="0.25">
      <c r="B24" s="11"/>
      <c r="C24" s="1" t="s">
        <v>73</v>
      </c>
      <c r="D24" s="20" t="s">
        <v>31</v>
      </c>
      <c r="E24" s="11"/>
      <c r="G24" s="11"/>
      <c r="H24" s="11"/>
      <c r="I24" s="26"/>
      <c r="J24" s="11"/>
      <c r="L24" s="11"/>
      <c r="M24" s="11"/>
      <c r="N24" s="26"/>
      <c r="O24" s="11"/>
      <c r="Q24" s="11"/>
      <c r="R24" s="11"/>
      <c r="S24" s="21"/>
      <c r="T24" s="11"/>
      <c r="V24" s="11"/>
      <c r="W24" s="11"/>
      <c r="X24" s="26"/>
      <c r="Y24" s="11"/>
      <c r="AA24" s="11"/>
      <c r="AB24" s="11"/>
      <c r="AC24" s="26"/>
      <c r="AD24" s="11"/>
      <c r="AF24" s="11"/>
      <c r="AG24" s="11"/>
      <c r="AH24" s="28"/>
      <c r="AI24" s="11"/>
      <c r="AK24" s="11"/>
      <c r="AL24" s="11"/>
      <c r="AM24" s="28"/>
      <c r="AN24" s="11"/>
    </row>
    <row r="25" spans="2:40" x14ac:dyDescent="0.25">
      <c r="B25" s="11"/>
      <c r="C25" s="11"/>
      <c r="D25" s="21"/>
      <c r="E25" s="11"/>
      <c r="G25" s="11"/>
      <c r="H25" s="11"/>
      <c r="I25" s="26"/>
      <c r="J25" s="11"/>
      <c r="L25" s="11"/>
      <c r="M25" s="11"/>
      <c r="N25" s="26"/>
      <c r="O25" s="11"/>
      <c r="Q25" s="11"/>
      <c r="R25" s="11"/>
      <c r="S25" s="21"/>
      <c r="T25" s="11"/>
      <c r="V25" s="11"/>
      <c r="W25" s="11"/>
      <c r="X25" s="26"/>
      <c r="Y25" s="11"/>
      <c r="AA25" s="11"/>
      <c r="AB25" s="11"/>
      <c r="AC25" s="26"/>
      <c r="AD25" s="11"/>
      <c r="AF25" s="11"/>
      <c r="AG25" s="11"/>
      <c r="AH25" s="28"/>
      <c r="AI25" s="11"/>
      <c r="AK25" s="11"/>
      <c r="AL25" s="11"/>
      <c r="AM25" s="28"/>
      <c r="AN25" s="11"/>
    </row>
    <row r="26" spans="2:40" x14ac:dyDescent="0.25">
      <c r="B26" s="11"/>
      <c r="C26" s="2" t="s">
        <v>74</v>
      </c>
      <c r="D26" s="21"/>
      <c r="E26" s="11"/>
      <c r="G26" s="11"/>
      <c r="H26" s="11"/>
      <c r="I26" s="26"/>
      <c r="J26" s="11"/>
      <c r="L26" s="11"/>
      <c r="M26" s="11"/>
      <c r="N26" s="26"/>
      <c r="O26" s="11"/>
      <c r="Q26" s="11"/>
      <c r="R26" s="11"/>
      <c r="S26" s="21"/>
      <c r="T26" s="11"/>
      <c r="V26" s="11"/>
      <c r="W26" s="11"/>
      <c r="X26" s="26"/>
      <c r="Y26" s="11"/>
      <c r="AA26" s="11"/>
      <c r="AB26" s="11"/>
      <c r="AC26" s="26"/>
      <c r="AD26" s="11"/>
      <c r="AF26" s="11"/>
      <c r="AG26" s="11"/>
      <c r="AH26" s="28"/>
      <c r="AI26" s="11"/>
      <c r="AK26" s="11"/>
      <c r="AL26" s="11"/>
      <c r="AM26" s="28"/>
      <c r="AN26" s="11"/>
    </row>
    <row r="27" spans="2:40" x14ac:dyDescent="0.25">
      <c r="B27" s="11"/>
      <c r="C27" s="1" t="s">
        <v>73</v>
      </c>
      <c r="D27" s="20" t="s">
        <v>75</v>
      </c>
      <c r="E27" s="11"/>
      <c r="G27" s="11"/>
      <c r="H27" s="11"/>
      <c r="I27" s="26"/>
      <c r="J27" s="11"/>
      <c r="L27" s="11"/>
      <c r="M27" s="11"/>
      <c r="N27" s="26"/>
      <c r="O27" s="11"/>
      <c r="Q27" s="11"/>
      <c r="R27" s="11"/>
      <c r="S27" s="21"/>
      <c r="T27" s="11"/>
      <c r="V27" s="11"/>
      <c r="W27" s="11"/>
      <c r="X27" s="26"/>
      <c r="Y27" s="11"/>
      <c r="AA27" s="11"/>
      <c r="AB27" s="11"/>
      <c r="AC27" s="26"/>
      <c r="AD27" s="11"/>
      <c r="AF27" s="11"/>
      <c r="AG27" s="11"/>
      <c r="AH27" s="28"/>
      <c r="AI27" s="11"/>
      <c r="AK27" s="11"/>
      <c r="AL27" s="11"/>
      <c r="AM27" s="28"/>
      <c r="AN27" s="11"/>
    </row>
    <row r="28" spans="2:40" x14ac:dyDescent="0.25">
      <c r="B28" s="11"/>
      <c r="C28" s="11"/>
      <c r="D28" s="21"/>
      <c r="E28" s="11"/>
      <c r="G28" s="11"/>
      <c r="H28" s="11"/>
      <c r="I28" s="26"/>
      <c r="J28" s="11"/>
      <c r="L28" s="11"/>
      <c r="M28" s="11"/>
      <c r="N28" s="26"/>
      <c r="O28" s="11"/>
      <c r="Q28" s="11"/>
      <c r="R28" s="11"/>
      <c r="S28" s="21"/>
      <c r="T28" s="11"/>
      <c r="V28" s="11"/>
      <c r="W28" s="11"/>
      <c r="X28" s="26"/>
      <c r="Y28" s="11"/>
      <c r="AA28" s="11"/>
      <c r="AB28" s="11"/>
      <c r="AC28" s="26"/>
      <c r="AD28" s="11"/>
      <c r="AF28" s="11"/>
      <c r="AG28" s="11"/>
      <c r="AH28" s="28"/>
      <c r="AI28" s="11"/>
      <c r="AK28" s="11"/>
      <c r="AL28" s="11"/>
      <c r="AM28" s="28"/>
      <c r="AN28" s="11"/>
    </row>
    <row r="29" spans="2:40" x14ac:dyDescent="0.25">
      <c r="B29" s="11"/>
      <c r="C29" s="2" t="s">
        <v>56</v>
      </c>
      <c r="D29" s="21"/>
      <c r="E29" s="11"/>
      <c r="G29" s="11"/>
      <c r="H29" s="11"/>
      <c r="I29" s="26"/>
      <c r="J29" s="11"/>
      <c r="L29" s="11"/>
      <c r="M29" s="11"/>
      <c r="N29" s="26"/>
      <c r="O29" s="11"/>
      <c r="Q29" s="11"/>
      <c r="R29" s="11"/>
      <c r="S29" s="21"/>
      <c r="T29" s="11"/>
      <c r="V29" s="11"/>
      <c r="W29" s="11"/>
      <c r="X29" s="26"/>
      <c r="Y29" s="11"/>
      <c r="AA29" s="11"/>
      <c r="AB29" s="11"/>
      <c r="AC29" s="26"/>
      <c r="AD29" s="11"/>
      <c r="AF29" s="11"/>
      <c r="AG29" s="11"/>
      <c r="AH29" s="28"/>
      <c r="AI29" s="11"/>
      <c r="AK29" s="11"/>
      <c r="AL29" s="11"/>
      <c r="AM29" s="28"/>
      <c r="AN29" s="11"/>
    </row>
    <row r="30" spans="2:40" x14ac:dyDescent="0.25">
      <c r="B30" s="11"/>
      <c r="C30" s="1" t="s">
        <v>73</v>
      </c>
      <c r="D30" s="20" t="s">
        <v>50</v>
      </c>
      <c r="E30" s="11"/>
      <c r="G30" s="11"/>
      <c r="H30" s="11"/>
      <c r="I30" s="26"/>
      <c r="J30" s="11"/>
      <c r="L30" s="11"/>
      <c r="M30" s="11"/>
      <c r="N30" s="26"/>
      <c r="O30" s="11"/>
      <c r="Q30" s="11"/>
      <c r="R30" s="11"/>
      <c r="S30" s="21"/>
      <c r="T30" s="11"/>
      <c r="V30" s="11"/>
      <c r="W30" s="11"/>
      <c r="X30" s="26"/>
      <c r="Y30" s="11"/>
      <c r="AA30" s="11"/>
      <c r="AB30" s="11"/>
      <c r="AC30" s="26"/>
      <c r="AD30" s="11"/>
      <c r="AF30" s="11"/>
      <c r="AG30" s="11"/>
      <c r="AH30" s="28"/>
      <c r="AI30" s="11"/>
      <c r="AK30" s="11"/>
      <c r="AL30" s="11"/>
      <c r="AM30" s="28"/>
      <c r="AN30" s="11"/>
    </row>
    <row r="31" spans="2:40" x14ac:dyDescent="0.25">
      <c r="B31" s="11"/>
      <c r="C31" s="11"/>
      <c r="D31" s="21"/>
      <c r="E31" s="11"/>
      <c r="G31" s="11"/>
      <c r="H31" s="11"/>
      <c r="I31" s="26"/>
      <c r="J31" s="11"/>
      <c r="L31" s="11"/>
      <c r="M31" s="11"/>
      <c r="N31" s="26"/>
      <c r="O31" s="11"/>
      <c r="Q31" s="11"/>
      <c r="R31" s="11"/>
      <c r="S31" s="21"/>
      <c r="T31" s="11"/>
      <c r="V31" s="11"/>
      <c r="W31" s="11"/>
      <c r="X31" s="26"/>
      <c r="Y31" s="11"/>
      <c r="AA31" s="11"/>
      <c r="AB31" s="11"/>
      <c r="AC31" s="26"/>
      <c r="AD31" s="11"/>
      <c r="AF31" s="11"/>
      <c r="AG31" s="11"/>
      <c r="AH31" s="28"/>
      <c r="AI31" s="11"/>
      <c r="AK31" s="11"/>
      <c r="AL31" s="11"/>
      <c r="AM31" s="28"/>
      <c r="AN31" s="11"/>
    </row>
  </sheetData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B06DB5-FE57-4939-B9D9-FFBDB3710C89}">
          <x14:formula1>
            <xm:f>Calculator!$K$30:$K$32</xm:f>
          </x14:formula1>
          <xm:sqref>D24</xm:sqref>
        </x14:dataValidation>
        <x14:dataValidation type="list" allowBlank="1" showInputMessage="1" showErrorMessage="1" xr:uid="{9C533436-4D21-4A99-A6F5-2D4005B613FF}">
          <x14:formula1>
            <xm:f>Calculator!$K$17:$K$19</xm:f>
          </x14:formula1>
          <xm:sqref>D30</xm:sqref>
        </x14:dataValidation>
        <x14:dataValidation type="list" allowBlank="1" showInputMessage="1" showErrorMessage="1" xr:uid="{0C2825BD-44F5-447A-9099-6BC8A78B1022}">
          <x14:formula1>
            <xm:f>Calculator!$K$4:$K$6</xm:f>
          </x14:formula1>
          <xm:sqref>D27</xm:sqref>
        </x14:dataValidation>
        <x14:dataValidation type="list" allowBlank="1" showInputMessage="1" showErrorMessage="1" xr:uid="{209F8B7D-9AF9-49F5-86A6-A955EBA5FDC2}">
          <x14:formula1>
            <xm:f>Calculator!$P$4:$P$12</xm:f>
          </x14:formula1>
          <xm:sqref>D15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9EF84-A8A9-4E94-A71B-D4729B28164F}">
  <dimension ref="B3:Z66"/>
  <sheetViews>
    <sheetView topLeftCell="A55" zoomScaleNormal="100" workbookViewId="0">
      <selection activeCell="B66" sqref="B66"/>
    </sheetView>
  </sheetViews>
  <sheetFormatPr baseColWidth="10" defaultRowHeight="15" x14ac:dyDescent="0.25"/>
  <cols>
    <col min="2" max="2" width="30.7109375" bestFit="1" customWidth="1"/>
    <col min="3" max="4" width="12" bestFit="1" customWidth="1"/>
    <col min="11" max="11" width="29.28515625" bestFit="1" customWidth="1"/>
    <col min="16" max="16" width="29.7109375" bestFit="1" customWidth="1"/>
    <col min="20" max="20" width="29.7109375" bestFit="1" customWidth="1"/>
    <col min="24" max="24" width="17.28515625" bestFit="1" customWidth="1"/>
  </cols>
  <sheetData>
    <row r="3" spans="2:19" ht="26.25" x14ac:dyDescent="0.4">
      <c r="B3" s="3" t="s">
        <v>14</v>
      </c>
      <c r="K3" s="32" t="s">
        <v>74</v>
      </c>
      <c r="P3" s="3" t="s">
        <v>83</v>
      </c>
      <c r="Q3" s="9" t="s">
        <v>35</v>
      </c>
      <c r="R3" s="9" t="s">
        <v>60</v>
      </c>
      <c r="S3" s="9" t="s">
        <v>28</v>
      </c>
    </row>
    <row r="4" spans="2:19" x14ac:dyDescent="0.25">
      <c r="K4" t="s">
        <v>75</v>
      </c>
      <c r="P4" t="s">
        <v>85</v>
      </c>
      <c r="Q4" t="s">
        <v>93</v>
      </c>
      <c r="R4" t="s">
        <v>85</v>
      </c>
    </row>
    <row r="5" spans="2:19" x14ac:dyDescent="0.25">
      <c r="B5" t="s">
        <v>18</v>
      </c>
      <c r="C5" s="4">
        <v>32.5</v>
      </c>
      <c r="K5" t="s">
        <v>76</v>
      </c>
      <c r="P5" t="s">
        <v>86</v>
      </c>
      <c r="Q5" t="s">
        <v>94</v>
      </c>
      <c r="R5" t="s">
        <v>86</v>
      </c>
    </row>
    <row r="6" spans="2:19" x14ac:dyDescent="0.25">
      <c r="B6" t="s">
        <v>17</v>
      </c>
      <c r="C6" s="5">
        <f>0.245/4.3</f>
        <v>5.6976744186046514E-2</v>
      </c>
      <c r="K6" t="s">
        <v>77</v>
      </c>
      <c r="P6" t="s">
        <v>87</v>
      </c>
      <c r="Q6" t="s">
        <v>101</v>
      </c>
      <c r="R6" t="s">
        <v>87</v>
      </c>
    </row>
    <row r="7" spans="2:19" x14ac:dyDescent="0.25">
      <c r="B7" t="s">
        <v>29</v>
      </c>
      <c r="C7" s="5">
        <f>55.5/1360</f>
        <v>4.0808823529411765E-2</v>
      </c>
      <c r="P7" t="s">
        <v>88</v>
      </c>
      <c r="Q7" t="s">
        <v>95</v>
      </c>
      <c r="R7" t="s">
        <v>88</v>
      </c>
    </row>
    <row r="8" spans="2:19" x14ac:dyDescent="0.25">
      <c r="B8" t="s">
        <v>30</v>
      </c>
      <c r="C8" s="5">
        <f>(277.3/1360)*D8</f>
        <v>0.13049411764705884</v>
      </c>
      <c r="D8">
        <v>0.64</v>
      </c>
      <c r="P8" t="s">
        <v>91</v>
      </c>
      <c r="Q8" t="s">
        <v>96</v>
      </c>
      <c r="R8" t="s">
        <v>91</v>
      </c>
    </row>
    <row r="9" spans="2:19" x14ac:dyDescent="0.25">
      <c r="B9" t="s">
        <v>25</v>
      </c>
      <c r="C9" s="7">
        <v>0.9</v>
      </c>
      <c r="P9" t="s">
        <v>76</v>
      </c>
      <c r="Q9" t="s">
        <v>97</v>
      </c>
      <c r="R9" t="s">
        <v>76</v>
      </c>
    </row>
    <row r="10" spans="2:19" x14ac:dyDescent="0.25">
      <c r="B10" t="s">
        <v>34</v>
      </c>
      <c r="C10" s="9">
        <v>80</v>
      </c>
      <c r="O10" s="9"/>
      <c r="P10" t="s">
        <v>89</v>
      </c>
      <c r="Q10" t="s">
        <v>98</v>
      </c>
      <c r="R10" t="s">
        <v>89</v>
      </c>
    </row>
    <row r="11" spans="2:19" x14ac:dyDescent="0.25">
      <c r="B11" t="s">
        <v>8</v>
      </c>
      <c r="C11" s="4">
        <v>4</v>
      </c>
      <c r="D11" s="4">
        <v>10</v>
      </c>
      <c r="O11" s="9"/>
      <c r="P11" t="s">
        <v>92</v>
      </c>
      <c r="Q11" t="s">
        <v>100</v>
      </c>
      <c r="R11" t="s">
        <v>92</v>
      </c>
    </row>
    <row r="12" spans="2:19" x14ac:dyDescent="0.25">
      <c r="B12" t="s">
        <v>4</v>
      </c>
      <c r="C12" s="14">
        <f>'v0.2'!D21</f>
        <v>2</v>
      </c>
      <c r="D12" s="14">
        <f>(100-C12*10)/100</f>
        <v>0.8</v>
      </c>
      <c r="E12" s="14">
        <f>C12/10+1</f>
        <v>1.2</v>
      </c>
      <c r="F12" s="14">
        <f>C12/100+1</f>
        <v>1.02</v>
      </c>
      <c r="O12" s="9"/>
      <c r="P12" t="s">
        <v>90</v>
      </c>
      <c r="Q12" t="s">
        <v>99</v>
      </c>
      <c r="R12" t="s">
        <v>90</v>
      </c>
    </row>
    <row r="13" spans="2:19" x14ac:dyDescent="0.25">
      <c r="B13" t="s">
        <v>2</v>
      </c>
      <c r="C13" s="14">
        <f>'v0.2'!D11/('v0.2'!D11+'v0.2'!D12)</f>
        <v>0.5</v>
      </c>
      <c r="D13" s="14">
        <f>'v0.2'!D12/('v0.2'!D11+'v0.2'!D12)</f>
        <v>0.5</v>
      </c>
      <c r="E13" s="14">
        <f>1-('v0.2'!D11/('v0.2'!D11+'v0.2'!D12))/10</f>
        <v>0.95</v>
      </c>
      <c r="F13" s="14">
        <f>1+('v0.2'!D12/('v0.2'!D11+'v0.2'!D12))/10</f>
        <v>1.05</v>
      </c>
      <c r="O13" s="9"/>
    </row>
    <row r="14" spans="2:19" x14ac:dyDescent="0.25">
      <c r="B14" t="s">
        <v>46</v>
      </c>
      <c r="C14" s="9">
        <v>40</v>
      </c>
      <c r="K14" s="17"/>
      <c r="L14" s="9"/>
      <c r="M14" s="9"/>
      <c r="N14" s="9"/>
      <c r="O14" s="9"/>
    </row>
    <row r="16" spans="2:19" ht="26.25" x14ac:dyDescent="0.4">
      <c r="B16" s="3" t="s">
        <v>6</v>
      </c>
      <c r="C16" s="9" t="s">
        <v>9</v>
      </c>
      <c r="D16" s="10" t="s">
        <v>10</v>
      </c>
      <c r="K16" s="31" t="s">
        <v>47</v>
      </c>
      <c r="L16" s="9" t="s">
        <v>53</v>
      </c>
      <c r="M16" s="9" t="s">
        <v>7</v>
      </c>
      <c r="N16" s="9" t="s">
        <v>52</v>
      </c>
      <c r="O16" s="9" t="s">
        <v>19</v>
      </c>
    </row>
    <row r="17" spans="2:19" x14ac:dyDescent="0.25">
      <c r="B17" t="s">
        <v>12</v>
      </c>
      <c r="C17" s="4">
        <f>('v0.2'!D8)/100+1</f>
        <v>1.5</v>
      </c>
      <c r="D17" s="4">
        <f>(100-'v0.2'!D8)/100+1</f>
        <v>1.5</v>
      </c>
      <c r="E17" s="6">
        <f>1-C17/10</f>
        <v>0.85</v>
      </c>
      <c r="F17" s="6">
        <f>D17/10+1</f>
        <v>1.1499999999999999</v>
      </c>
      <c r="G17" s="7">
        <f>('v0.2'!D8)/100</f>
        <v>0.5</v>
      </c>
      <c r="H17" s="7">
        <f>(100-'v0.2'!D8)/100</f>
        <v>0.5</v>
      </c>
      <c r="K17" t="s">
        <v>50</v>
      </c>
      <c r="L17" s="14">
        <v>1</v>
      </c>
      <c r="M17" s="14">
        <v>4</v>
      </c>
      <c r="N17" s="14">
        <v>7</v>
      </c>
      <c r="O17" s="14">
        <f>E12</f>
        <v>1.2</v>
      </c>
    </row>
    <row r="18" spans="2:19" x14ac:dyDescent="0.25">
      <c r="B18" t="s">
        <v>15</v>
      </c>
      <c r="C18" s="7">
        <f>'v0.2'!D11/('v0.2'!D11+'v0.2'!D12)+1</f>
        <v>1.5</v>
      </c>
      <c r="D18" s="7">
        <f>'v0.2'!D12/('v0.2'!D11+'v0.2'!D12)+1</f>
        <v>1.5</v>
      </c>
      <c r="E18" s="6">
        <f>1-C18/10</f>
        <v>0.85</v>
      </c>
      <c r="F18" s="6">
        <f>D18/10+1</f>
        <v>1.1499999999999999</v>
      </c>
      <c r="G18" s="7">
        <f>'v0.2'!D11/('v0.2'!D11+'v0.2'!D12)</f>
        <v>0.5</v>
      </c>
      <c r="H18" s="7">
        <f>'v0.2'!D12/('v0.2'!D11+'v0.2'!D12)</f>
        <v>0.5</v>
      </c>
      <c r="K18" t="s">
        <v>48</v>
      </c>
      <c r="L18" s="14">
        <v>2</v>
      </c>
      <c r="M18" s="14">
        <v>5</v>
      </c>
      <c r="N18" s="14">
        <v>8</v>
      </c>
      <c r="O18" s="14">
        <f>O17*1.015</f>
        <v>1.2179999999999997</v>
      </c>
    </row>
    <row r="19" spans="2:19" x14ac:dyDescent="0.25">
      <c r="B19" t="s">
        <v>13</v>
      </c>
      <c r="C19" s="7">
        <f>'v0.2'!D18+1</f>
        <v>1.35</v>
      </c>
      <c r="D19" s="7">
        <f>1-'v0.2'!D18+1</f>
        <v>1.65</v>
      </c>
      <c r="E19" s="6">
        <f>1-C19/10</f>
        <v>0.86499999999999999</v>
      </c>
      <c r="F19" s="6">
        <f>D19/10+1</f>
        <v>1.165</v>
      </c>
      <c r="G19" s="7">
        <f>'v0.2'!D18</f>
        <v>0.35</v>
      </c>
      <c r="H19" s="7">
        <f>1-'v0.2'!D18</f>
        <v>0.65</v>
      </c>
      <c r="K19" t="s">
        <v>49</v>
      </c>
      <c r="L19" s="14">
        <v>3</v>
      </c>
      <c r="M19" s="14">
        <v>6</v>
      </c>
      <c r="N19" s="14">
        <v>9</v>
      </c>
      <c r="O19" s="14">
        <f>O17*1.033</f>
        <v>1.2395999999999998</v>
      </c>
    </row>
    <row r="20" spans="2:19" x14ac:dyDescent="0.25">
      <c r="K20" t="s">
        <v>51</v>
      </c>
      <c r="L20" s="14">
        <f>IF('v0.2'!D30="Default",Calculator!L17,IF('v0.2'!D30="Aggressiv",Calculator!L18,Calculator!L19))</f>
        <v>1</v>
      </c>
      <c r="M20" s="14">
        <f>IF('v0.2'!D30="Default",Calculator!M17,IF('v0.2'!D30="Aggressiv",Calculator!M18,Calculator!M19))</f>
        <v>4</v>
      </c>
      <c r="N20" s="14">
        <f>IF('v0.2'!D30="Default",Calculator!N17,IF('v0.2'!D30="Aggressiv",Calculator!N18,Calculator!N19))</f>
        <v>7</v>
      </c>
      <c r="O20" s="14">
        <f>IF('v0.2'!D30="Default",Calculator!O17,IF('v0.2'!D30="Aggressiv",Calculator!O18,Calculator!O19))</f>
        <v>1.2</v>
      </c>
    </row>
    <row r="23" spans="2:19" ht="26.25" x14ac:dyDescent="0.4">
      <c r="B23" s="3" t="s">
        <v>22</v>
      </c>
      <c r="C23" s="9" t="s">
        <v>9</v>
      </c>
      <c r="D23" s="9" t="s">
        <v>31</v>
      </c>
      <c r="E23" s="9" t="s">
        <v>32</v>
      </c>
    </row>
    <row r="24" spans="2:19" x14ac:dyDescent="0.25">
      <c r="B24" t="s">
        <v>23</v>
      </c>
      <c r="C24" s="8">
        <f>ROUNDDOWN(E12*F12,1)*-1</f>
        <v>-1.2</v>
      </c>
      <c r="D24" s="8">
        <f>D12*E12*-1</f>
        <v>-0.96</v>
      </c>
      <c r="E24" s="13">
        <f>D12*-1</f>
        <v>-0.8</v>
      </c>
      <c r="F24" s="36">
        <f>IF('v0.2'!D24="AWD",Calculator!E24,Calculator!D24)</f>
        <v>-0.96</v>
      </c>
    </row>
    <row r="25" spans="2:19" x14ac:dyDescent="0.25">
      <c r="B25" t="s">
        <v>22</v>
      </c>
      <c r="C25" s="8">
        <f>C12/17</f>
        <v>0.11764705882352941</v>
      </c>
      <c r="D25" s="8">
        <f>(C12/20)*-1</f>
        <v>-0.1</v>
      </c>
      <c r="E25" s="13">
        <f>(C12/20)*-1</f>
        <v>-0.1</v>
      </c>
      <c r="G25" s="6"/>
    </row>
    <row r="26" spans="2:19" x14ac:dyDescent="0.25">
      <c r="B26" t="s">
        <v>24</v>
      </c>
      <c r="C26" s="8">
        <f>6+C12/4</f>
        <v>6.5</v>
      </c>
      <c r="D26" s="4"/>
      <c r="E26" s="33"/>
    </row>
    <row r="29" spans="2:19" ht="26.25" x14ac:dyDescent="0.4">
      <c r="B29" s="3" t="s">
        <v>16</v>
      </c>
      <c r="C29" s="9" t="s">
        <v>35</v>
      </c>
      <c r="D29" s="9" t="s">
        <v>36</v>
      </c>
      <c r="E29" s="9"/>
      <c r="K29" s="32" t="s">
        <v>52</v>
      </c>
      <c r="L29" s="9" t="s">
        <v>35</v>
      </c>
      <c r="M29" s="9" t="s">
        <v>60</v>
      </c>
      <c r="N29" s="9"/>
      <c r="R29" s="17"/>
    </row>
    <row r="30" spans="2:19" x14ac:dyDescent="0.25">
      <c r="B30" t="s">
        <v>39</v>
      </c>
      <c r="C30" s="13">
        <f>(C10*G17*G18*G19*3)</f>
        <v>21</v>
      </c>
      <c r="D30" s="13">
        <f>(C10*H17*H18*H19*3)</f>
        <v>39</v>
      </c>
      <c r="E30" s="13"/>
      <c r="K30" s="17" t="s">
        <v>31</v>
      </c>
      <c r="L30" s="13">
        <f>C36</f>
        <v>20.434524270841404</v>
      </c>
      <c r="M30" s="13">
        <f>D36</f>
        <v>40.226205719163467</v>
      </c>
      <c r="R30" s="17"/>
    </row>
    <row r="31" spans="2:19" x14ac:dyDescent="0.25">
      <c r="B31" t="s">
        <v>40</v>
      </c>
      <c r="C31" s="13">
        <f>C30*D12</f>
        <v>16.8</v>
      </c>
      <c r="D31" s="13">
        <f>D30*E12</f>
        <v>46.8</v>
      </c>
      <c r="K31" s="17" t="s">
        <v>32</v>
      </c>
      <c r="L31" s="13">
        <f>C34</f>
        <v>18.083649797204785</v>
      </c>
      <c r="M31" s="13">
        <f>D34</f>
        <v>46.237018068003984</v>
      </c>
      <c r="R31" s="17"/>
      <c r="S31" s="13"/>
    </row>
    <row r="32" spans="2:19" x14ac:dyDescent="0.25">
      <c r="B32" t="s">
        <v>38</v>
      </c>
      <c r="C32" s="13">
        <f>'v0.2'!D7*Calculator!C8/2</f>
        <v>97.870588235294136</v>
      </c>
      <c r="D32" s="13">
        <f>'v0.2'!D7*Calculator!C8/2</f>
        <v>97.870588235294136</v>
      </c>
      <c r="K32" t="s">
        <v>55</v>
      </c>
      <c r="L32" s="13" t="s">
        <v>103</v>
      </c>
      <c r="M32" s="13" t="s">
        <v>103</v>
      </c>
      <c r="N32" s="13"/>
      <c r="R32" s="17"/>
      <c r="S32" s="13"/>
    </row>
    <row r="33" spans="2:18" x14ac:dyDescent="0.25">
      <c r="B33" t="s">
        <v>37</v>
      </c>
      <c r="C33" s="13">
        <f>C32/C44</f>
        <v>1.0764077260240943</v>
      </c>
      <c r="D33" s="13">
        <f>D32/D44</f>
        <v>0.98797047153854667</v>
      </c>
      <c r="K33" t="s">
        <v>51</v>
      </c>
      <c r="L33" s="13">
        <f>IF('v0.2'!D24="RWD",Calculator!L30,IF('v0.2'!D24="AWD",Calculator!L31,Calculator!L32))</f>
        <v>20.434524270841404</v>
      </c>
      <c r="M33" s="13">
        <f>IF('v0.2'!D24="RWD",Calculator!M30,IF('v0.2'!D24="AWD",Calculator!M31,Calculator!M32))</f>
        <v>40.226205719163467</v>
      </c>
      <c r="N33" s="36">
        <f>IF('v0.2'!D30="Aggressiv",Calculator!L34,IF('v0.2'!D30="Extrem",Calculator!L35,Calculator!L33))</f>
        <v>20.434524270841404</v>
      </c>
      <c r="O33" s="36">
        <f>IF('v0.2'!D30="Aggressiv",Calculator!M34,IF('v0.2'!D30="Extrem",Calculator!M35,Calculator!M33))</f>
        <v>40.226205719163467</v>
      </c>
    </row>
    <row r="34" spans="2:18" x14ac:dyDescent="0.25">
      <c r="B34" s="12" t="s">
        <v>45</v>
      </c>
      <c r="C34" s="15">
        <f>C31*C33</f>
        <v>18.083649797204785</v>
      </c>
      <c r="D34" s="15">
        <f>D31*D33</f>
        <v>46.237018068003984</v>
      </c>
      <c r="K34" t="s">
        <v>48</v>
      </c>
      <c r="L34" s="13">
        <f>L33*0.9</f>
        <v>18.391071843757263</v>
      </c>
      <c r="M34" s="13">
        <f>M33*1.05</f>
        <v>42.237516005121641</v>
      </c>
    </row>
    <row r="35" spans="2:18" x14ac:dyDescent="0.25">
      <c r="B35" t="s">
        <v>43</v>
      </c>
      <c r="C35" s="9">
        <v>13</v>
      </c>
      <c r="D35" s="9"/>
      <c r="K35" t="s">
        <v>49</v>
      </c>
      <c r="L35" s="13">
        <f>L33*0.8</f>
        <v>16.347619416673123</v>
      </c>
      <c r="M35" s="13">
        <f>M33*1.1</f>
        <v>44.248826291079816</v>
      </c>
      <c r="N35" s="13"/>
    </row>
    <row r="36" spans="2:18" x14ac:dyDescent="0.25">
      <c r="B36" s="12" t="s">
        <v>44</v>
      </c>
      <c r="C36" s="15">
        <f>C34*((100+C35)/100)</f>
        <v>20.434524270841404</v>
      </c>
      <c r="D36" s="15">
        <f>D34*((100-C35)/100)</f>
        <v>40.226205719163467</v>
      </c>
    </row>
    <row r="37" spans="2:18" x14ac:dyDescent="0.25">
      <c r="C37" s="13"/>
      <c r="D37" s="13"/>
    </row>
    <row r="38" spans="2:18" x14ac:dyDescent="0.25">
      <c r="C38" s="13"/>
      <c r="D38" s="13"/>
    </row>
    <row r="39" spans="2:18" ht="26.25" x14ac:dyDescent="0.4">
      <c r="B39" s="3" t="s">
        <v>7</v>
      </c>
      <c r="C39" s="9" t="s">
        <v>9</v>
      </c>
      <c r="D39" s="9" t="s">
        <v>31</v>
      </c>
      <c r="K39" s="3" t="s">
        <v>7</v>
      </c>
      <c r="L39" s="9" t="s">
        <v>35</v>
      </c>
      <c r="M39" s="9" t="s">
        <v>60</v>
      </c>
      <c r="P39" s="32" t="s">
        <v>63</v>
      </c>
      <c r="Q39" s="9" t="s">
        <v>35</v>
      </c>
      <c r="R39" s="9" t="s">
        <v>60</v>
      </c>
    </row>
    <row r="40" spans="2:18" x14ac:dyDescent="0.25">
      <c r="B40" t="s">
        <v>12</v>
      </c>
      <c r="C40" s="14">
        <f>G17</f>
        <v>0.5</v>
      </c>
      <c r="D40" s="14">
        <f>H17</f>
        <v>0.5</v>
      </c>
      <c r="K40" t="s">
        <v>50</v>
      </c>
      <c r="L40" s="13">
        <f>C44</f>
        <v>90.92334240000001</v>
      </c>
      <c r="M40" s="13">
        <f>D44</f>
        <v>99.062260517647076</v>
      </c>
      <c r="P40" t="s">
        <v>75</v>
      </c>
      <c r="Q40" s="9" t="s">
        <v>50</v>
      </c>
      <c r="R40" s="9" t="s">
        <v>50</v>
      </c>
    </row>
    <row r="41" spans="2:18" x14ac:dyDescent="0.25">
      <c r="B41" t="s">
        <v>41</v>
      </c>
      <c r="C41" s="9">
        <f>'v0.2'!D18/10+1</f>
        <v>1.0349999999999999</v>
      </c>
      <c r="D41" s="9">
        <f>(1-'v0.2'!D18)/10+1</f>
        <v>1.0649999999999999</v>
      </c>
      <c r="K41" t="s">
        <v>48</v>
      </c>
      <c r="L41" s="13">
        <f>L40*0.95</f>
        <v>86.377175280000003</v>
      </c>
      <c r="M41" s="13">
        <f>M40*1.05</f>
        <v>104.01537354352944</v>
      </c>
      <c r="P41" t="s">
        <v>76</v>
      </c>
      <c r="Q41" s="9" t="s">
        <v>78</v>
      </c>
      <c r="R41" s="9" t="s">
        <v>78</v>
      </c>
    </row>
    <row r="42" spans="2:18" x14ac:dyDescent="0.25">
      <c r="B42" t="s">
        <v>4</v>
      </c>
      <c r="C42" s="9">
        <f>1+'v0.2'!D21/100</f>
        <v>1.02</v>
      </c>
      <c r="D42" s="9">
        <f>(1-'v0.2'!D21/10)/10+1</f>
        <v>1.08</v>
      </c>
      <c r="E42" s="9"/>
      <c r="K42" t="s">
        <v>49</v>
      </c>
      <c r="L42" s="13">
        <f>L40*0.905</f>
        <v>82.285624872000014</v>
      </c>
      <c r="M42" s="13">
        <f>M40*1.09</f>
        <v>107.97786396423533</v>
      </c>
      <c r="P42" t="s">
        <v>77</v>
      </c>
      <c r="Q42" s="9" t="s">
        <v>78</v>
      </c>
      <c r="R42" s="9" t="s">
        <v>78</v>
      </c>
    </row>
    <row r="43" spans="2:18" x14ac:dyDescent="0.25">
      <c r="B43" t="s">
        <v>42</v>
      </c>
      <c r="C43" s="14">
        <v>0.88</v>
      </c>
      <c r="E43" s="8"/>
      <c r="K43" t="s">
        <v>51</v>
      </c>
      <c r="L43" s="13">
        <f>IF('v0.2'!D30="Default",Calculator!L40,IF('v0.2'!D30="Aggressiv",Calculator!L41,Calculator!L42))</f>
        <v>90.92334240000001</v>
      </c>
      <c r="M43" s="13">
        <f>IF('v0.2'!D30="Default",Calculator!M40,IF('v0.2'!D30="Aggressiv",Calculator!M41,Calculator!M42))</f>
        <v>99.062260517647076</v>
      </c>
      <c r="P43" t="s">
        <v>51</v>
      </c>
      <c r="Q43" s="9" t="str">
        <f>IF('v0.2'!D27="Asphalt",Calculator!Q40,IF('v0.2'!D27="Rally",Calculator!Q41,Calculator!Q42))</f>
        <v>Default</v>
      </c>
      <c r="R43" s="9" t="str">
        <f>IF('v0.2'!D27="Asphalt",Calculator!R40,IF('v0.2'!D27="Rally",Calculator!R41,Calculator!R42))</f>
        <v>Default</v>
      </c>
    </row>
    <row r="44" spans="2:18" x14ac:dyDescent="0.25">
      <c r="B44" s="12" t="s">
        <v>11</v>
      </c>
      <c r="C44" s="15">
        <f>('v0.2'!D7*C8*C40*C41*C42)*C43</f>
        <v>90.92334240000001</v>
      </c>
      <c r="D44" s="15">
        <f>('v0.2'!D7*C8*D40*D41*D42)*C43</f>
        <v>99.062260517647076</v>
      </c>
    </row>
    <row r="46" spans="2:18" x14ac:dyDescent="0.25">
      <c r="C46" s="9"/>
    </row>
    <row r="47" spans="2:18" ht="26.25" x14ac:dyDescent="0.4">
      <c r="B47" s="3" t="s">
        <v>19</v>
      </c>
      <c r="C47" s="9" t="s">
        <v>9</v>
      </c>
      <c r="D47" s="9" t="s">
        <v>10</v>
      </c>
      <c r="K47" s="3" t="s">
        <v>64</v>
      </c>
      <c r="L47" s="9" t="s">
        <v>35</v>
      </c>
      <c r="M47" s="9" t="s">
        <v>60</v>
      </c>
      <c r="P47" s="3" t="s">
        <v>65</v>
      </c>
      <c r="Q47" s="9" t="s">
        <v>35</v>
      </c>
      <c r="R47" s="9" t="s">
        <v>60</v>
      </c>
    </row>
    <row r="48" spans="2:18" x14ac:dyDescent="0.25">
      <c r="B48" s="12" t="s">
        <v>20</v>
      </c>
      <c r="C48" s="15">
        <f>(C44/D50)*20*O20</f>
        <v>11.148192</v>
      </c>
      <c r="D48" s="15">
        <f>(D44/D50)*20*O20</f>
        <v>12.146112</v>
      </c>
      <c r="G48" s="6"/>
      <c r="K48" t="s">
        <v>50</v>
      </c>
      <c r="L48" s="13">
        <f>C48*1.015</f>
        <v>11.315414879999999</v>
      </c>
      <c r="M48" s="13">
        <f>D48</f>
        <v>12.146112</v>
      </c>
      <c r="P48" t="s">
        <v>51</v>
      </c>
      <c r="Q48" s="13">
        <f>L51*0.33</f>
        <v>3.7340869103999998</v>
      </c>
      <c r="R48" s="13">
        <f>M51*0.33</f>
        <v>4.0082169600000004</v>
      </c>
    </row>
    <row r="49" spans="2:26" x14ac:dyDescent="0.25">
      <c r="B49" s="12" t="s">
        <v>21</v>
      </c>
      <c r="C49" s="15">
        <f>C48*0.33</f>
        <v>3.6789033600000001</v>
      </c>
      <c r="D49" s="15">
        <f>D48*0.33</f>
        <v>4.0082169600000004</v>
      </c>
      <c r="K49" t="s">
        <v>48</v>
      </c>
      <c r="L49" s="13">
        <f>C48*1.05</f>
        <v>11.7056016</v>
      </c>
      <c r="M49" s="13">
        <f>M48*1.05</f>
        <v>12.753417600000001</v>
      </c>
      <c r="Q49" s="13"/>
      <c r="R49" s="13"/>
    </row>
    <row r="50" spans="2:26" x14ac:dyDescent="0.25">
      <c r="B50" t="s">
        <v>33</v>
      </c>
      <c r="C50" s="13">
        <f>'v0.2'!D7*Calculator!C7</f>
        <v>61.213235294117645</v>
      </c>
      <c r="D50" s="13">
        <f>'v0.2'!D7*Calculator!C8</f>
        <v>195.74117647058827</v>
      </c>
      <c r="K50" t="s">
        <v>49</v>
      </c>
      <c r="L50" s="13">
        <f>C48*1.09</f>
        <v>12.15152928</v>
      </c>
      <c r="M50" s="13">
        <f>M48*1.09</f>
        <v>13.239262080000001</v>
      </c>
      <c r="Q50" s="13"/>
      <c r="R50" s="13"/>
    </row>
    <row r="51" spans="2:26" x14ac:dyDescent="0.25">
      <c r="K51" t="s">
        <v>51</v>
      </c>
      <c r="L51" s="13">
        <f>IF('v0.2'!D30="Default",Calculator!L48,IF('v0.2'!D30="Aggressiv",Calculator!L49,Calculator!L50))</f>
        <v>11.315414879999999</v>
      </c>
      <c r="M51" s="13">
        <f>IF('v0.2'!D30="Default",Calculator!M48,IF('v0.2'!D30="Aggressiv",Calculator!M49,Calculator!M50))</f>
        <v>12.146112</v>
      </c>
      <c r="Q51" s="13"/>
      <c r="R51" s="13"/>
    </row>
    <row r="52" spans="2:26" x14ac:dyDescent="0.25">
      <c r="D52" s="9"/>
      <c r="K52" s="33">
        <f>L48*1.1</f>
        <v>12.446956368</v>
      </c>
      <c r="L52" s="13">
        <f>IF('v0.2'!D30="Default",Calculator!L48,IF('v0.2'!D30="Aggressiv",Calculator!L49,Calculator!L50))</f>
        <v>11.315414879999999</v>
      </c>
      <c r="M52" s="13"/>
    </row>
    <row r="53" spans="2:26" ht="26.25" x14ac:dyDescent="0.4">
      <c r="B53" s="3" t="s">
        <v>26</v>
      </c>
      <c r="C53" s="9" t="s">
        <v>50</v>
      </c>
      <c r="D53" s="9" t="s">
        <v>56</v>
      </c>
      <c r="K53" s="38">
        <f>K52*0.33</f>
        <v>4.1074956014400001</v>
      </c>
      <c r="L53" s="34"/>
      <c r="M53" s="34"/>
      <c r="N53" s="34"/>
      <c r="O53" s="34"/>
      <c r="P53" s="34"/>
      <c r="Q53" s="34"/>
      <c r="R53" s="34"/>
    </row>
    <row r="54" spans="2:26" x14ac:dyDescent="0.25">
      <c r="B54" t="s">
        <v>27</v>
      </c>
      <c r="C54" s="35">
        <f>(ROUNDUP(C13,2)+0.01)*100</f>
        <v>51</v>
      </c>
      <c r="D54" s="35">
        <f>(ROUNDDOWN(C13+0.0139,2))*100</f>
        <v>51</v>
      </c>
    </row>
    <row r="55" spans="2:26" x14ac:dyDescent="0.25">
      <c r="B55" t="s">
        <v>28</v>
      </c>
      <c r="C55" s="16">
        <f>100+C12^2</f>
        <v>104</v>
      </c>
    </row>
    <row r="58" spans="2:26" ht="26.25" x14ac:dyDescent="0.4">
      <c r="B58" s="3" t="s">
        <v>46</v>
      </c>
      <c r="C58" s="9" t="s">
        <v>35</v>
      </c>
      <c r="D58" s="9" t="s">
        <v>60</v>
      </c>
      <c r="K58" s="32" t="s">
        <v>80</v>
      </c>
      <c r="L58" s="9" t="s">
        <v>35</v>
      </c>
      <c r="M58" s="9" t="s">
        <v>60</v>
      </c>
      <c r="P58" s="32" t="s">
        <v>81</v>
      </c>
      <c r="Q58" s="9" t="s">
        <v>35</v>
      </c>
      <c r="R58" s="9" t="s">
        <v>60</v>
      </c>
      <c r="T58" s="32" t="s">
        <v>79</v>
      </c>
      <c r="U58" s="9" t="s">
        <v>35</v>
      </c>
      <c r="V58" s="9" t="s">
        <v>60</v>
      </c>
      <c r="X58" s="3" t="s">
        <v>105</v>
      </c>
      <c r="Y58" s="9" t="s">
        <v>76</v>
      </c>
      <c r="Z58" s="9" t="s">
        <v>77</v>
      </c>
    </row>
    <row r="59" spans="2:26" x14ac:dyDescent="0.25">
      <c r="B59" t="s">
        <v>102</v>
      </c>
      <c r="C59" s="16">
        <f>(100-'v0.2'!D11/10)/E12</f>
        <v>65.416666666666671</v>
      </c>
      <c r="D59" s="16">
        <f>(100-'v0.2'!D12/10)/E12</f>
        <v>65.416666666666671</v>
      </c>
      <c r="K59" t="s">
        <v>67</v>
      </c>
      <c r="L59" s="9" t="s">
        <v>82</v>
      </c>
      <c r="M59" s="16">
        <f>IF('v0.2'!D27="Asphalt",D59,IF('v0.2'!D27="Rally",D59*Y59,D59*Z59))</f>
        <v>65.416666666666671</v>
      </c>
      <c r="P59" t="s">
        <v>67</v>
      </c>
      <c r="Q59" s="16">
        <f>IF('v0.2'!D27="Asphalt",C59,IF('v0.2'!D27="Rally",C59*Y59,C59*Z59))</f>
        <v>65.416666666666671</v>
      </c>
      <c r="R59" s="16">
        <f>IF('v0.2'!D27="Asphalt",D59,IF('v0.2'!D27="Rally",D59*Y59,D59*Z59))</f>
        <v>65.416666666666671</v>
      </c>
      <c r="T59" t="s">
        <v>67</v>
      </c>
      <c r="U59" s="16" t="s">
        <v>103</v>
      </c>
      <c r="V59" s="9" t="s">
        <v>82</v>
      </c>
      <c r="X59" t="s">
        <v>67</v>
      </c>
      <c r="Y59" s="6">
        <v>1.2</v>
      </c>
      <c r="Z59" s="6">
        <v>1.33</v>
      </c>
    </row>
    <row r="60" spans="2:26" x14ac:dyDescent="0.25">
      <c r="B60" t="s">
        <v>68</v>
      </c>
      <c r="C60" s="16">
        <f>22-C12^2</f>
        <v>18</v>
      </c>
      <c r="D60" s="16">
        <f>27-C12^2</f>
        <v>23</v>
      </c>
      <c r="K60" t="s">
        <v>68</v>
      </c>
      <c r="L60" s="9" t="s">
        <v>82</v>
      </c>
      <c r="M60" s="16">
        <f>IF('v0.2'!D27="Asphalt",D60,IF('v0.2'!D27="Rally",D60*Y60,D60*Z60))</f>
        <v>23</v>
      </c>
      <c r="P60" t="s">
        <v>68</v>
      </c>
      <c r="Q60" s="16">
        <f>IF('v0.2'!D27="Asphalt",C60,IF('v0.2'!D27="Rally",C60*Y60,C60*Z60))</f>
        <v>18</v>
      </c>
      <c r="R60" s="16">
        <f>IF('v0.2'!D27="Asphalt",D60,IF('v0.2'!D27="Rally",D60*Y60,D60*Z60))</f>
        <v>23</v>
      </c>
      <c r="T60" t="s">
        <v>68</v>
      </c>
      <c r="U60" s="16" t="s">
        <v>103</v>
      </c>
      <c r="V60" s="9" t="s">
        <v>82</v>
      </c>
      <c r="X60" t="s">
        <v>68</v>
      </c>
      <c r="Y60" s="6">
        <v>1.25</v>
      </c>
      <c r="Z60" s="6">
        <v>1.4</v>
      </c>
    </row>
    <row r="61" spans="2:26" x14ac:dyDescent="0.25">
      <c r="B61" t="s">
        <v>11</v>
      </c>
      <c r="C61" s="16">
        <f>(('v0.2'!D12/('v0.2'!D11+'v0.2'!D12)*100)/2)+C14+C12^3</f>
        <v>73</v>
      </c>
      <c r="K61" t="s">
        <v>11</v>
      </c>
      <c r="L61" s="9" t="s">
        <v>82</v>
      </c>
      <c r="M61" s="16" t="s">
        <v>82</v>
      </c>
      <c r="P61" t="s">
        <v>11</v>
      </c>
      <c r="Q61" s="9" t="s">
        <v>82</v>
      </c>
      <c r="R61" s="16">
        <f>C61</f>
        <v>73</v>
      </c>
      <c r="T61" t="s">
        <v>11</v>
      </c>
      <c r="U61" s="9" t="s">
        <v>82</v>
      </c>
      <c r="V61" s="16" t="s">
        <v>82</v>
      </c>
    </row>
    <row r="62" spans="2:26" x14ac:dyDescent="0.25">
      <c r="L62" s="9"/>
      <c r="M62" s="9"/>
    </row>
    <row r="65" spans="2:2" x14ac:dyDescent="0.25">
      <c r="B65" t="s">
        <v>107</v>
      </c>
    </row>
    <row r="66" spans="2:2" x14ac:dyDescent="0.25">
      <c r="B66" t="s">
        <v>106</v>
      </c>
    </row>
  </sheetData>
  <pageMargins left="0.7" right="0.7" top="0.78740157499999996" bottom="0.78740157499999996" header="0.3" footer="0.3"/>
  <ignoredErrors>
    <ignoredError sqref="D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v0.2</vt:lpstr>
      <vt:lpstr>Calculator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Meyer</dc:creator>
  <cp:lastModifiedBy>Tim Meyer</cp:lastModifiedBy>
  <dcterms:created xsi:type="dcterms:W3CDTF">2026-05-16T07:48:03Z</dcterms:created>
  <dcterms:modified xsi:type="dcterms:W3CDTF">2026-05-25T17:55:28Z</dcterms:modified>
</cp:coreProperties>
</file>