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tmxbo\Desktop\"/>
    </mc:Choice>
  </mc:AlternateContent>
  <xr:revisionPtr revIDLastSave="0" documentId="13_ncr:1_{41CF185D-A339-4B57-A68B-B6B13A73B4D7}" xr6:coauthVersionLast="47" xr6:coauthVersionMax="47" xr10:uidLastSave="{00000000-0000-0000-0000-000000000000}"/>
  <bookViews>
    <workbookView xWindow="10500" yWindow="1395" windowWidth="24060" windowHeight="15405" xr2:uid="{84ED6177-2211-4070-B2AB-7BA44596A544}"/>
  </bookViews>
  <sheets>
    <sheet name="Redux v0.4" sheetId="1" r:id="rId1"/>
    <sheet name="Gearing v0.1" sheetId="5" r:id="rId2"/>
    <sheet name="CALC" sheetId="2" r:id="rId3"/>
    <sheet name="DATA" sheetId="3" r:id="rId4"/>
    <sheet name="Gearing DataCalc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4" l="1"/>
  <c r="E19" i="5" s="1"/>
  <c r="M4" i="4"/>
  <c r="E15" i="5" s="1"/>
  <c r="C5" i="4"/>
  <c r="C18" i="4" s="1"/>
  <c r="C3" i="4"/>
  <c r="L21" i="5"/>
  <c r="C4" i="4"/>
  <c r="M3" i="4"/>
  <c r="E11" i="5" s="1"/>
  <c r="C21" i="4"/>
  <c r="C16" i="4"/>
  <c r="C17" i="4" s="1"/>
  <c r="C11" i="4"/>
  <c r="C12" i="4"/>
  <c r="C13" i="4" s="1"/>
  <c r="C14" i="4" s="1"/>
  <c r="C30" i="4"/>
  <c r="D17" i="1"/>
  <c r="P11" i="2"/>
  <c r="S22" i="2"/>
  <c r="S17" i="1"/>
  <c r="C7" i="4" l="1"/>
  <c r="C9" i="4"/>
  <c r="F4" i="4" s="1"/>
  <c r="C8" i="4"/>
  <c r="F3" i="4" s="1"/>
  <c r="S13" i="2"/>
  <c r="G3" i="3"/>
  <c r="Y21" i="2" s="1"/>
  <c r="F5" i="4" l="1"/>
  <c r="F7" i="4" s="1" a="1"/>
  <c r="Y9" i="2"/>
  <c r="L15" i="5" l="1"/>
  <c r="L17" i="5"/>
  <c r="L19" i="5"/>
  <c r="L11" i="5"/>
  <c r="L13" i="5"/>
  <c r="F7" i="4"/>
  <c r="L3" i="5" s="1"/>
  <c r="L9" i="5"/>
  <c r="L5" i="5"/>
  <c r="L7" i="5"/>
  <c r="Y6" i="2"/>
  <c r="Y11" i="2" s="1"/>
  <c r="Y15" i="2" s="1"/>
  <c r="Y5" i="2"/>
  <c r="J6" i="2"/>
  <c r="J10" i="2" s="1"/>
  <c r="J5" i="2"/>
  <c r="J9" i="2" s="1"/>
  <c r="V15" i="2"/>
  <c r="V10" i="2"/>
  <c r="G10" i="2"/>
  <c r="G12" i="2"/>
  <c r="G8" i="2"/>
  <c r="G11" i="2" s="1"/>
  <c r="S6" i="2"/>
  <c r="F4" i="3"/>
  <c r="V13" i="2"/>
  <c r="R5" i="3"/>
  <c r="M26" i="1" s="1"/>
  <c r="R4" i="3"/>
  <c r="V9" i="2" s="1"/>
  <c r="N4" i="3"/>
  <c r="P15" i="2" s="1"/>
  <c r="V8" i="2"/>
  <c r="V6" i="2"/>
  <c r="V5" i="2"/>
  <c r="J13" i="2" l="1"/>
  <c r="N6" i="1" s="1"/>
  <c r="M19" i="2"/>
  <c r="M20" i="2" s="1"/>
  <c r="M18" i="2"/>
  <c r="M13" i="2"/>
  <c r="M12" i="2"/>
  <c r="J12" i="2"/>
  <c r="N5" i="1" s="1"/>
  <c r="M14" i="2"/>
  <c r="S25" i="1"/>
  <c r="S24" i="1"/>
  <c r="Y10" i="2"/>
  <c r="S20" i="1" s="1"/>
  <c r="Y19" i="2"/>
  <c r="V16" i="2"/>
  <c r="N24" i="1" s="1"/>
  <c r="V11" i="2"/>
  <c r="N20" i="1" s="1"/>
  <c r="G6" i="2"/>
  <c r="Y14" i="2" l="1"/>
  <c r="S21" i="1" s="1"/>
  <c r="G15" i="2"/>
  <c r="G18" i="2" s="1"/>
  <c r="I6" i="1" s="1"/>
  <c r="G14" i="2"/>
  <c r="G17" i="2" s="1"/>
  <c r="I5" i="1" s="1"/>
  <c r="G7" i="2"/>
  <c r="N5" i="3" l="1"/>
  <c r="C26" i="1" s="1"/>
  <c r="J5" i="3"/>
  <c r="C23" i="1" s="1"/>
  <c r="J4" i="3"/>
  <c r="P17" i="2" s="1"/>
  <c r="P20" i="2" l="1"/>
  <c r="P21" i="2"/>
  <c r="P19" i="2"/>
  <c r="S17" i="2"/>
  <c r="P22" i="2" l="1"/>
  <c r="C7" i="2" s="1"/>
  <c r="C5" i="2"/>
  <c r="P5" i="2" s="1"/>
  <c r="C8" i="2" l="1"/>
  <c r="P7" i="2" s="1"/>
  <c r="P6" i="2"/>
  <c r="S8" i="2"/>
  <c r="C4" i="2"/>
  <c r="C3" i="2" s="1"/>
  <c r="C14" i="2"/>
  <c r="C13" i="2"/>
  <c r="M16" i="2" l="1"/>
  <c r="M10" i="2"/>
  <c r="S5" i="1" s="1"/>
  <c r="M23" i="2"/>
  <c r="S6" i="1" s="1"/>
  <c r="C11" i="2"/>
  <c r="Y20" i="2" s="1"/>
  <c r="Y22" i="2" s="1"/>
  <c r="S28" i="1" s="1"/>
  <c r="C10" i="2"/>
  <c r="S9" i="2"/>
  <c r="S10" i="2" l="1"/>
  <c r="S19" i="2" s="1"/>
  <c r="P8" i="2"/>
  <c r="P24" i="2" s="1"/>
  <c r="S11" i="2"/>
  <c r="S20" i="2" s="1"/>
  <c r="S24" i="2" s="1"/>
  <c r="P9" i="2"/>
  <c r="P25" i="2" s="1"/>
  <c r="S23" i="2" l="1"/>
  <c r="I24" i="1" s="1"/>
  <c r="D20" i="1"/>
  <c r="D21" i="1"/>
  <c r="I25" i="1"/>
  <c r="I21" i="1"/>
  <c r="I2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<sst xmlns="http://schemas.openxmlformats.org/spreadsheetml/2006/main" count="263" uniqueCount="146">
  <si>
    <t>Gewicht</t>
  </si>
  <si>
    <t>Balance</t>
  </si>
  <si>
    <t>Reifen V.</t>
  </si>
  <si>
    <t>Reifen H.</t>
  </si>
  <si>
    <t>Aero Balance</t>
  </si>
  <si>
    <t>Federn</t>
  </si>
  <si>
    <t>Stabis</t>
  </si>
  <si>
    <t>Dämpfer</t>
  </si>
  <si>
    <t>Gewicht V</t>
  </si>
  <si>
    <t>Gewicht H</t>
  </si>
  <si>
    <t>Aero V</t>
  </si>
  <si>
    <t xml:space="preserve"> </t>
  </si>
  <si>
    <t>Aero H</t>
  </si>
  <si>
    <t>Gewicht Koeffizient</t>
  </si>
  <si>
    <t>Federrate MAX</t>
  </si>
  <si>
    <t>Federrate MIN</t>
  </si>
  <si>
    <t>Front</t>
  </si>
  <si>
    <t>Heck</t>
  </si>
  <si>
    <t>Reifen H</t>
  </si>
  <si>
    <t>Reifen V</t>
  </si>
  <si>
    <t>Federrate Max</t>
  </si>
  <si>
    <t>Dämpfer Max</t>
  </si>
  <si>
    <t>Zug V</t>
  </si>
  <si>
    <t>Zug H</t>
  </si>
  <si>
    <t>Druck V</t>
  </si>
  <si>
    <t>Druck H</t>
  </si>
  <si>
    <t>Dämpfer Multi</t>
  </si>
  <si>
    <t>AWD</t>
  </si>
  <si>
    <t>Antriebsart</t>
  </si>
  <si>
    <t>RWD</t>
  </si>
  <si>
    <t>FWD</t>
  </si>
  <si>
    <t>Härte</t>
  </si>
  <si>
    <t>Straße</t>
  </si>
  <si>
    <t>Rallye</t>
  </si>
  <si>
    <t>Untergrund</t>
  </si>
  <si>
    <t>Offroad</t>
  </si>
  <si>
    <t>Balance Regler</t>
  </si>
  <si>
    <t>Zugstufe</t>
  </si>
  <si>
    <t>Druckstufe</t>
  </si>
  <si>
    <t>Grundwerte</t>
  </si>
  <si>
    <t>Hart</t>
  </si>
  <si>
    <t>Weich</t>
  </si>
  <si>
    <t>KGF/MM</t>
  </si>
  <si>
    <t>Balance Display</t>
  </si>
  <si>
    <t>Härte Display</t>
  </si>
  <si>
    <t>Härte Regler</t>
  </si>
  <si>
    <t>FR Front</t>
  </si>
  <si>
    <t>FR Heck</t>
  </si>
  <si>
    <t>Druck Multi</t>
  </si>
  <si>
    <t>Stabilisatoren</t>
  </si>
  <si>
    <t>Fahrzeugwerte</t>
  </si>
  <si>
    <t>Bremse</t>
  </si>
  <si>
    <t>Bremskraft</t>
  </si>
  <si>
    <t>Druck</t>
  </si>
  <si>
    <t>Verhältnis Reifen</t>
  </si>
  <si>
    <t>Vehältnis Gewicht</t>
  </si>
  <si>
    <t>Antrieb</t>
  </si>
  <si>
    <t>Balance Slider</t>
  </si>
  <si>
    <t>Bremsbalance</t>
  </si>
  <si>
    <t>Regler</t>
  </si>
  <si>
    <t>Display</t>
  </si>
  <si>
    <t>Reifen</t>
  </si>
  <si>
    <t>PSI</t>
  </si>
  <si>
    <t>Standard</t>
  </si>
  <si>
    <t>Sport</t>
  </si>
  <si>
    <t>Semi-Slick</t>
  </si>
  <si>
    <t>Slick</t>
  </si>
  <si>
    <t>Drift</t>
  </si>
  <si>
    <t>Drag</t>
  </si>
  <si>
    <t>Vintage</t>
  </si>
  <si>
    <t>Weißwand</t>
  </si>
  <si>
    <t>Vint. Race</t>
  </si>
  <si>
    <t>Bar Umrechnung</t>
  </si>
  <si>
    <t>Bar</t>
  </si>
  <si>
    <t>Mischung</t>
  </si>
  <si>
    <t>Gewicht F</t>
  </si>
  <si>
    <t>Gewicht Multi</t>
  </si>
  <si>
    <t>Druck Front PSI</t>
  </si>
  <si>
    <t>Druck Heck PSI</t>
  </si>
  <si>
    <t>Druck Front BAR</t>
  </si>
  <si>
    <t>Druck Heck BAR</t>
  </si>
  <si>
    <t>Gewicht Front</t>
  </si>
  <si>
    <t>BAR</t>
  </si>
  <si>
    <t>Porsche</t>
  </si>
  <si>
    <t>Spur</t>
  </si>
  <si>
    <t>Differenzial</t>
  </si>
  <si>
    <t>Radsturz</t>
  </si>
  <si>
    <t>Nachlauf</t>
  </si>
  <si>
    <t>Winkel</t>
  </si>
  <si>
    <t>Mitte</t>
  </si>
  <si>
    <t>Beschleunigung</t>
  </si>
  <si>
    <t>Abbremsen</t>
  </si>
  <si>
    <t>▼</t>
  </si>
  <si>
    <t>ABS</t>
  </si>
  <si>
    <t>ABS Trigger</t>
  </si>
  <si>
    <t>STRAßE</t>
  </si>
  <si>
    <t>RALLYE</t>
  </si>
  <si>
    <t>OFFROAD</t>
  </si>
  <si>
    <t>Reifen F</t>
  </si>
  <si>
    <t>Gesamt</t>
  </si>
  <si>
    <t>Reifenbreite H</t>
  </si>
  <si>
    <t>Aero Balance H</t>
  </si>
  <si>
    <t>AWD Front</t>
  </si>
  <si>
    <t>AWD Heck</t>
  </si>
  <si>
    <t>RW Front</t>
  </si>
  <si>
    <t>RW Heck</t>
  </si>
  <si>
    <t>Forza Aero: 0.37 - 0.42</t>
  </si>
  <si>
    <t>Tire Width</t>
  </si>
  <si>
    <t>Rim Size</t>
  </si>
  <si>
    <t>Tire Radius "R"</t>
  </si>
  <si>
    <t>Tire OD</t>
  </si>
  <si>
    <t>Gang 1</t>
  </si>
  <si>
    <t>Gang 2</t>
  </si>
  <si>
    <t>Gang 3</t>
  </si>
  <si>
    <t>Gang 4</t>
  </si>
  <si>
    <t>Gang 5</t>
  </si>
  <si>
    <t>Gang 6</t>
  </si>
  <si>
    <t>Offeset</t>
  </si>
  <si>
    <t>Start</t>
  </si>
  <si>
    <t>End</t>
  </si>
  <si>
    <t>f-Faktor</t>
  </si>
  <si>
    <t>Tire Width F</t>
  </si>
  <si>
    <t>Tire Width H</t>
  </si>
  <si>
    <t>Offset</t>
  </si>
  <si>
    <t>First Gear</t>
  </si>
  <si>
    <t>Gang 7</t>
  </si>
  <si>
    <t>Gang 8</t>
  </si>
  <si>
    <t>Gang 9</t>
  </si>
  <si>
    <t>Gang 10</t>
  </si>
  <si>
    <t>Drehmoment</t>
  </si>
  <si>
    <t>Offset First</t>
  </si>
  <si>
    <t>Offset End</t>
  </si>
  <si>
    <t>N-m</t>
  </si>
  <si>
    <t>AWD Offset</t>
  </si>
  <si>
    <t>Gänge</t>
  </si>
  <si>
    <t>Redline RPM</t>
  </si>
  <si>
    <t>Last Gear</t>
  </si>
  <si>
    <t>Redline</t>
  </si>
  <si>
    <t>Erster Gang</t>
  </si>
  <si>
    <t>Kürzer</t>
  </si>
  <si>
    <t>Länger</t>
  </si>
  <si>
    <t>Letzter Gang</t>
  </si>
  <si>
    <t>Spacing</t>
  </si>
  <si>
    <t>Spreizung</t>
  </si>
  <si>
    <t>Enger</t>
  </si>
  <si>
    <t>Weiter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</si>
</sst>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"/>
    <numFmt numFmtId="166" formatCode="0.000000"/>
    <numFmt numFmtId="167" formatCode="0.000"/>
    <numFmt numFmtId="168" formatCode="&quot;    &quot;0&quot; %&quot;"/>
    <numFmt numFmtId="169" formatCode="&quot; &quot;0"/>
  </numFmts>
  <fonts count="18" x14ac:knownFonts="1">
    <font>
      <sz val="11"/>
      <color theme="1"/>
      <name val="Calibri"/>
      <family val="2"/>
      <scheme val="minor"/>
    </font>
    <font>
      <b/>
      <sz val="8"/>
      <color theme="1"/>
      <name val="Akzidenz Grotesk BE Ex"/>
      <family val="2"/>
    </font>
    <font>
      <sz val="10"/>
      <color theme="1"/>
      <name val="Calibri"/>
      <family val="2"/>
      <scheme val="minor"/>
    </font>
    <font>
      <b/>
      <sz val="10"/>
      <color theme="1"/>
      <name val="Akzidenz Grotesk BE Ex"/>
      <family val="2"/>
    </font>
    <font>
      <b/>
      <i/>
      <sz val="10"/>
      <color theme="1"/>
      <name val="Akzidenz Grotesk BE Ex"/>
      <family val="2"/>
    </font>
    <font>
      <b/>
      <sz val="10"/>
      <color theme="0"/>
      <name val="Akzidenz Grotesk BE Ex"/>
      <family val="2"/>
    </font>
    <font>
      <b/>
      <sz val="9"/>
      <color theme="1"/>
      <name val="Akzidenz Grotesk BE Ex"/>
      <family val="2"/>
    </font>
    <font>
      <sz val="10"/>
      <name val="Calibri"/>
      <family val="2"/>
      <scheme val="minor"/>
    </font>
    <font>
      <b/>
      <sz val="10"/>
      <name val="Akzidenz Grotesk BE Ex"/>
      <family val="2"/>
    </font>
    <font>
      <sz val="11"/>
      <name val="Calibri"/>
      <family val="2"/>
      <scheme val="minor"/>
    </font>
    <font>
      <sz val="8"/>
      <color rgb="FF000000"/>
      <name val="Segoe UI"/>
      <family val="2"/>
    </font>
    <font>
      <b/>
      <sz val="6.7"/>
      <color theme="1"/>
      <name val="Akzidenz Grotesk BE Ex"/>
      <family val="2"/>
    </font>
    <font>
      <b/>
      <i/>
      <sz val="9"/>
      <color theme="1"/>
      <name val="Akzidenz Grotesk BE Ex"/>
      <family val="2"/>
    </font>
    <font>
      <b/>
      <i/>
      <sz val="12"/>
      <color theme="1"/>
      <name val="Akzidenz Grotesk BE Ex"/>
      <family val="2"/>
    </font>
    <font>
      <sz val="8"/>
      <name val="Calibri"/>
      <family val="2"/>
      <scheme val="minor"/>
    </font>
    <font>
      <b/>
      <sz val="11"/>
      <color theme="1"/>
      <name val="Akzidenz Grotesk BE Ex"/>
      <family val="2"/>
    </font>
    <font>
      <b/>
      <sz val="11"/>
      <color theme="0"/>
      <name val="Akzidenz Grotesk BE Ex"/>
      <family val="2"/>
    </font>
    <font>
      <b/>
      <i/>
      <sz val="11"/>
      <color theme="1"/>
      <name val="Akzidenz Grotesk BE Ex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1" fillId="2" borderId="0" xfId="0" applyFont="1" applyFill="1"/>
    <xf numFmtId="165" fontId="1" fillId="2" borderId="0" xfId="0" applyNumberFormat="1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/>
    <xf numFmtId="165" fontId="2" fillId="2" borderId="0" xfId="0" applyNumberFormat="1" applyFont="1" applyFill="1"/>
    <xf numFmtId="0" fontId="3" fillId="2" borderId="0" xfId="0" applyFont="1" applyFill="1"/>
    <xf numFmtId="0" fontId="4" fillId="2" borderId="0" xfId="0" applyFont="1" applyFill="1"/>
    <xf numFmtId="0" fontId="3" fillId="2" borderId="2" xfId="0" applyFont="1" applyFill="1" applyBorder="1"/>
    <xf numFmtId="2" fontId="3" fillId="2" borderId="0" xfId="0" applyNumberFormat="1" applyFont="1" applyFill="1"/>
    <xf numFmtId="165" fontId="3" fillId="2" borderId="0" xfId="0" applyNumberFormat="1" applyFont="1" applyFill="1"/>
    <xf numFmtId="0" fontId="5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5" fontId="3" fillId="2" borderId="2" xfId="0" applyNumberFormat="1" applyFont="1" applyFill="1" applyBorder="1"/>
    <xf numFmtId="1" fontId="3" fillId="2" borderId="0" xfId="0" applyNumberFormat="1" applyFont="1" applyFill="1"/>
    <xf numFmtId="168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6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165" fontId="8" fillId="2" borderId="0" xfId="0" applyNumberFormat="1" applyFont="1" applyFill="1"/>
    <xf numFmtId="165" fontId="7" fillId="2" borderId="0" xfId="0" applyNumberFormat="1" applyFont="1" applyFill="1"/>
    <xf numFmtId="1" fontId="3" fillId="2" borderId="0" xfId="0" applyNumberFormat="1" applyFont="1" applyFill="1" applyAlignment="1">
      <alignment horizontal="right"/>
    </xf>
    <xf numFmtId="1" fontId="8" fillId="2" borderId="0" xfId="0" applyNumberFormat="1" applyFont="1" applyFill="1" applyAlignment="1">
      <alignment horizontal="right"/>
    </xf>
    <xf numFmtId="2" fontId="0" fillId="0" borderId="0" xfId="0" applyNumberFormat="1" applyAlignment="1">
      <alignment horizontal="center"/>
    </xf>
    <xf numFmtId="0" fontId="11" fillId="2" borderId="0" xfId="0" applyFont="1" applyFill="1" applyAlignment="1">
      <alignment horizontal="right" vertical="top"/>
    </xf>
    <xf numFmtId="0" fontId="4" fillId="2" borderId="3" xfId="0" applyFont="1" applyFill="1" applyBorder="1"/>
    <xf numFmtId="0" fontId="3" fillId="2" borderId="3" xfId="0" applyFont="1" applyFill="1" applyBorder="1"/>
    <xf numFmtId="0" fontId="12" fillId="2" borderId="3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center"/>
    </xf>
    <xf numFmtId="0" fontId="13" fillId="2" borderId="3" xfId="0" applyFont="1" applyFill="1" applyBorder="1"/>
    <xf numFmtId="165" fontId="13" fillId="2" borderId="3" xfId="0" applyNumberFormat="1" applyFont="1" applyFill="1" applyBorder="1"/>
    <xf numFmtId="0" fontId="15" fillId="2" borderId="0" xfId="0" applyFont="1" applyFill="1"/>
    <xf numFmtId="0" fontId="15" fillId="2" borderId="2" xfId="0" applyFont="1" applyFill="1" applyBorder="1"/>
    <xf numFmtId="0" fontId="15" fillId="2" borderId="3" xfId="0" applyFont="1" applyFill="1" applyBorder="1"/>
    <xf numFmtId="0" fontId="0" fillId="2" borderId="3" xfId="0" applyFill="1" applyBorder="1"/>
    <xf numFmtId="2" fontId="15" fillId="2" borderId="0" xfId="0" applyNumberFormat="1" applyFont="1" applyFill="1"/>
    <xf numFmtId="0" fontId="15" fillId="2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2" fontId="17" fillId="2" borderId="3" xfId="0" applyNumberFormat="1" applyFont="1" applyFill="1" applyBorder="1"/>
    <xf numFmtId="0" fontId="17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5" fillId="2" borderId="3" xfId="0" applyFont="1" applyFill="1" applyBorder="1" applyAlignment="1">
      <alignment horizontal="right" vertical="center"/>
    </xf>
    <xf numFmtId="2" fontId="15" fillId="2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Scroll" dx="22" fmlaLink="DATA!$J$3" horiz="1" max="100" page="10" val="50"/>
</file>

<file path=xl/ctrlProps/ctrlProp2.xml><?xml version="1.0" encoding="utf-8"?>
<formControlPr xmlns="http://schemas.microsoft.com/office/spreadsheetml/2009/9/main" objectType="Scroll" dx="22" fmlaLink="DATA!$N$3" horiz="1" max="100" page="10" val="50"/>
</file>

<file path=xl/ctrlProps/ctrlProp3.xml><?xml version="1.0" encoding="utf-8"?>
<formControlPr xmlns="http://schemas.microsoft.com/office/spreadsheetml/2009/9/main" objectType="Scroll" dx="22" fmlaLink="DATA!$R$3" horiz="1" max="20" page="10" val="10"/>
</file>

<file path=xl/ctrlProps/ctrlProp4.xml><?xml version="1.0" encoding="utf-8"?>
<formControlPr xmlns="http://schemas.microsoft.com/office/spreadsheetml/2009/9/main" objectType="List" dx="22" fmlaLink="DATA!$F$3" fmlaRange="DATA!$F$5:$F$16" noThreeD="1" sel="1" val="0"/>
</file>

<file path=xl/ctrlProps/ctrlProp5.xml><?xml version="1.0" encoding="utf-8"?>
<formControlPr xmlns="http://schemas.microsoft.com/office/spreadsheetml/2009/9/main" objectType="CheckBox" fmlaLink="CALC!$V$14" lockText="1" noThreeD="1"/>
</file>

<file path=xl/ctrlProps/ctrlProp6.xml><?xml version="1.0" encoding="utf-8"?>
<formControlPr xmlns="http://schemas.microsoft.com/office/spreadsheetml/2009/9/main" objectType="Scroll" dx="22" fmlaLink="'Gearing DataCalc'!$N$3" horiz="1" max="200" page="10" val="100"/>
</file>

<file path=xl/ctrlProps/ctrlProp7.xml><?xml version="1.0" encoding="utf-8"?>
<formControlPr xmlns="http://schemas.microsoft.com/office/spreadsheetml/2009/9/main" objectType="Scroll" dx="22" fmlaLink="'Gearing DataCalc'!$N$4" horiz="1" max="100" page="10" val="50"/>
</file>

<file path=xl/ctrlProps/ctrlProp8.xml><?xml version="1.0" encoding="utf-8"?>
<formControlPr xmlns="http://schemas.microsoft.com/office/spreadsheetml/2009/9/main" objectType="Scroll" dx="22" fmlaLink="'Gearing DataCalc'!$N$5" horiz="1" max="114" page="10" val="5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23</xdr:row>
          <xdr:rowOff>28575</xdr:rowOff>
        </xdr:from>
        <xdr:to>
          <xdr:col>3</xdr:col>
          <xdr:colOff>409575</xdr:colOff>
          <xdr:row>23</xdr:row>
          <xdr:rowOff>180975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26</xdr:row>
          <xdr:rowOff>28575</xdr:rowOff>
        </xdr:from>
        <xdr:to>
          <xdr:col>3</xdr:col>
          <xdr:colOff>438150</xdr:colOff>
          <xdr:row>26</xdr:row>
          <xdr:rowOff>180975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381000</xdr:colOff>
          <xdr:row>26</xdr:row>
          <xdr:rowOff>28575</xdr:rowOff>
        </xdr:from>
        <xdr:to>
          <xdr:col>13</xdr:col>
          <xdr:colOff>400050</xdr:colOff>
          <xdr:row>26</xdr:row>
          <xdr:rowOff>180975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8</xdr:row>
          <xdr:rowOff>47625</xdr:rowOff>
        </xdr:from>
        <xdr:to>
          <xdr:col>9</xdr:col>
          <xdr:colOff>0</xdr:colOff>
          <xdr:row>13</xdr:row>
          <xdr:rowOff>9525</xdr:rowOff>
        </xdr:to>
        <xdr:sp macro="" textlink="">
          <xdr:nvSpPr>
            <xdr:cNvPr id="1043" name="List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361950</xdr:colOff>
          <xdr:row>15</xdr:row>
          <xdr:rowOff>180975</xdr:rowOff>
        </xdr:from>
        <xdr:to>
          <xdr:col>14</xdr:col>
          <xdr:colOff>28575</xdr:colOff>
          <xdr:row>16</xdr:row>
          <xdr:rowOff>200025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8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ABS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11</xdr:row>
          <xdr:rowOff>9525</xdr:rowOff>
        </xdr:from>
        <xdr:to>
          <xdr:col>6</xdr:col>
          <xdr:colOff>95250</xdr:colOff>
          <xdr:row>12</xdr:row>
          <xdr:rowOff>9525</xdr:rowOff>
        </xdr:to>
        <xdr:sp macro="" textlink="">
          <xdr:nvSpPr>
            <xdr:cNvPr id="2050" name="Scroll Ba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15</xdr:row>
          <xdr:rowOff>9525</xdr:rowOff>
        </xdr:from>
        <xdr:to>
          <xdr:col>6</xdr:col>
          <xdr:colOff>104775</xdr:colOff>
          <xdr:row>16</xdr:row>
          <xdr:rowOff>9525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19</xdr:row>
          <xdr:rowOff>9525</xdr:rowOff>
        </xdr:from>
        <xdr:to>
          <xdr:col>6</xdr:col>
          <xdr:colOff>85725</xdr:colOff>
          <xdr:row>20</xdr:row>
          <xdr:rowOff>9525</xdr:rowOff>
        </xdr:to>
        <xdr:sp macro="" textlink="">
          <xdr:nvSpPr>
            <xdr:cNvPr id="2052" name="Scroll Bar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A2140-5239-42C8-910D-E3C10182AE4D}">
  <sheetPr codeName="Tabelle1"/>
  <dimension ref="A1:V31"/>
  <sheetViews>
    <sheetView tabSelected="1" zoomScale="115" zoomScaleNormal="115" workbookViewId="0">
      <selection activeCell="A52" sqref="A52"/>
    </sheetView>
  </sheetViews>
  <sheetFormatPr baseColWidth="10" defaultRowHeight="15" x14ac:dyDescent="0.25"/>
  <cols>
    <col min="1" max="1" width="6.28515625" style="9" customWidth="1"/>
    <col min="2" max="4" width="11.7109375" style="9" customWidth="1"/>
    <col min="5" max="6" width="2.7109375" style="9" customWidth="1"/>
    <col min="7" max="9" width="11.7109375" style="9" customWidth="1"/>
    <col min="10" max="11" width="2.7109375" style="9" customWidth="1"/>
    <col min="12" max="14" width="11.7109375" style="9" customWidth="1"/>
    <col min="15" max="16" width="2.7109375" style="9" customWidth="1"/>
    <col min="17" max="17" width="11.7109375" style="9" customWidth="1"/>
    <col min="18" max="18" width="11.7109375" style="10" customWidth="1"/>
    <col min="19" max="30" width="11.7109375" style="9" customWidth="1"/>
    <col min="31" max="16384" width="11.42578125" style="9"/>
  </cols>
  <sheetData>
    <row r="1" spans="1:22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5"/>
      <c r="S1" s="14"/>
      <c r="T1" s="14"/>
    </row>
    <row r="2" spans="1:22" ht="16.5" thickBot="1" x14ac:dyDescent="0.3">
      <c r="A2" s="14"/>
      <c r="B2" s="43" t="s">
        <v>50</v>
      </c>
      <c r="C2" s="39"/>
      <c r="D2" s="39"/>
      <c r="E2" s="17"/>
      <c r="F2" s="16"/>
      <c r="G2" s="43" t="s">
        <v>61</v>
      </c>
      <c r="H2" s="40"/>
      <c r="I2" s="40"/>
      <c r="J2" s="16"/>
      <c r="K2" s="16"/>
      <c r="L2" s="43" t="s">
        <v>84</v>
      </c>
      <c r="M2" s="40"/>
      <c r="N2" s="40"/>
      <c r="O2" s="17"/>
      <c r="P2" s="16"/>
      <c r="Q2" s="43" t="s">
        <v>49</v>
      </c>
      <c r="R2" s="39"/>
      <c r="S2" s="39"/>
      <c r="T2" s="16"/>
    </row>
    <row r="3" spans="1:22" x14ac:dyDescent="0.25">
      <c r="A3" s="14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2" x14ac:dyDescent="0.25">
      <c r="A4" s="14"/>
      <c r="B4" s="18" t="s">
        <v>39</v>
      </c>
      <c r="C4" s="18"/>
      <c r="D4" s="18"/>
      <c r="E4" s="16"/>
      <c r="F4" s="16"/>
      <c r="G4" s="18" t="s">
        <v>73</v>
      </c>
      <c r="H4" s="18"/>
      <c r="I4" s="18"/>
      <c r="J4" s="16"/>
      <c r="K4" s="16"/>
      <c r="L4" s="18" t="s">
        <v>86</v>
      </c>
      <c r="M4" s="18"/>
      <c r="N4" s="18"/>
      <c r="O4" s="16"/>
      <c r="P4" s="16"/>
      <c r="Q4" s="18" t="s">
        <v>6</v>
      </c>
      <c r="R4" s="18"/>
      <c r="S4" s="18"/>
      <c r="T4" s="16"/>
    </row>
    <row r="5" spans="1:22" x14ac:dyDescent="0.25">
      <c r="A5" s="14"/>
      <c r="B5" s="16" t="s">
        <v>0</v>
      </c>
      <c r="C5" s="16"/>
      <c r="D5" s="16">
        <v>1250</v>
      </c>
      <c r="E5" s="16"/>
      <c r="F5" s="16"/>
      <c r="G5" s="16" t="s">
        <v>16</v>
      </c>
      <c r="H5" s="16"/>
      <c r="I5" s="19">
        <f ca="1">CALC!G17</f>
        <v>1.842969348</v>
      </c>
      <c r="J5" s="16"/>
      <c r="K5" s="16"/>
      <c r="L5" s="16" t="s">
        <v>16</v>
      </c>
      <c r="M5" s="16"/>
      <c r="N5" s="20">
        <f>CALC!J12</f>
        <v>-0.99999999999999989</v>
      </c>
      <c r="O5" s="16"/>
      <c r="P5" s="16"/>
      <c r="Q5" s="16" t="s">
        <v>16</v>
      </c>
      <c r="R5" s="16"/>
      <c r="S5" s="20">
        <f>IF(D11="FWD",CALC!M22,CALC!M10)</f>
        <v>65</v>
      </c>
      <c r="T5" s="16"/>
    </row>
    <row r="6" spans="1:22" x14ac:dyDescent="0.25">
      <c r="A6" s="14"/>
      <c r="B6" s="16" t="s">
        <v>1</v>
      </c>
      <c r="C6" s="16"/>
      <c r="D6" s="16">
        <v>50</v>
      </c>
      <c r="E6" s="16"/>
      <c r="F6" s="16"/>
      <c r="G6" s="16" t="s">
        <v>17</v>
      </c>
      <c r="H6" s="16"/>
      <c r="I6" s="19">
        <f ca="1">CALC!G18</f>
        <v>1.842969348</v>
      </c>
      <c r="J6" s="16"/>
      <c r="K6" s="16"/>
      <c r="L6" s="16" t="s">
        <v>17</v>
      </c>
      <c r="M6" s="16"/>
      <c r="N6" s="20">
        <f>CALC!J13</f>
        <v>-0.99999999999999989</v>
      </c>
      <c r="O6" s="16"/>
      <c r="P6" s="16"/>
      <c r="Q6" s="16" t="s">
        <v>17</v>
      </c>
      <c r="R6" s="16"/>
      <c r="S6" s="20">
        <f>IF(D11="FWD",CALC!M23,IF(D11="AWD",CALC!M20,CALC!M14))</f>
        <v>7.2222222222222223</v>
      </c>
      <c r="T6" s="16"/>
    </row>
    <row r="7" spans="1:22" x14ac:dyDescent="0.25">
      <c r="A7" s="14"/>
      <c r="B7" s="16" t="s">
        <v>2</v>
      </c>
      <c r="C7" s="16"/>
      <c r="D7" s="16">
        <v>225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2" x14ac:dyDescent="0.25">
      <c r="A8" s="14"/>
      <c r="B8" s="16" t="s">
        <v>3</v>
      </c>
      <c r="C8" s="16"/>
      <c r="D8" s="16">
        <v>225</v>
      </c>
      <c r="E8" s="16"/>
      <c r="F8" s="16"/>
      <c r="G8" s="18" t="s">
        <v>74</v>
      </c>
      <c r="H8" s="18"/>
      <c r="I8" s="18"/>
      <c r="J8" s="16"/>
      <c r="K8" s="16"/>
      <c r="L8" s="18" t="s">
        <v>84</v>
      </c>
      <c r="M8" s="18"/>
      <c r="N8" s="18"/>
      <c r="O8" s="16"/>
      <c r="P8" s="16"/>
      <c r="Q8" s="16"/>
      <c r="R8" s="16"/>
      <c r="S8" s="16"/>
      <c r="T8" s="16"/>
    </row>
    <row r="9" spans="1:22" x14ac:dyDescent="0.25">
      <c r="A9" s="14"/>
      <c r="B9" s="16" t="s">
        <v>4</v>
      </c>
      <c r="C9" s="16"/>
      <c r="D9" s="19">
        <v>0</v>
      </c>
      <c r="E9" s="16"/>
      <c r="F9" s="16"/>
      <c r="G9" s="16"/>
      <c r="H9" s="16"/>
      <c r="I9" s="16"/>
      <c r="J9" s="16"/>
      <c r="K9" s="16"/>
      <c r="L9" s="16" t="s">
        <v>16</v>
      </c>
      <c r="M9" s="16"/>
      <c r="N9" s="20">
        <v>0</v>
      </c>
      <c r="O9" s="16"/>
      <c r="P9" s="16"/>
      <c r="Q9" s="16"/>
      <c r="R9" s="16"/>
      <c r="S9" s="16"/>
      <c r="T9" s="16"/>
    </row>
    <row r="10" spans="1:22" x14ac:dyDescent="0.25">
      <c r="A10" s="14"/>
      <c r="B10" s="16"/>
      <c r="C10" s="16"/>
      <c r="D10" s="38" t="s">
        <v>106</v>
      </c>
      <c r="E10" s="16"/>
      <c r="F10" s="16"/>
      <c r="G10" s="16"/>
      <c r="H10" s="16"/>
      <c r="I10" s="16"/>
      <c r="J10" s="16"/>
      <c r="K10" s="16"/>
      <c r="L10" s="16" t="s">
        <v>17</v>
      </c>
      <c r="M10" s="16"/>
      <c r="N10" s="20">
        <v>0</v>
      </c>
      <c r="O10" s="16"/>
      <c r="P10" s="16"/>
      <c r="Q10" s="16"/>
      <c r="R10" s="16"/>
      <c r="S10" s="16"/>
      <c r="T10" s="16"/>
    </row>
    <row r="11" spans="1:22" x14ac:dyDescent="0.25">
      <c r="A11" s="14"/>
      <c r="B11" s="18" t="s">
        <v>28</v>
      </c>
      <c r="C11" s="18"/>
      <c r="D11" s="29" t="s">
        <v>30</v>
      </c>
      <c r="E11" s="21" t="s">
        <v>92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</row>
    <row r="12" spans="1:22" x14ac:dyDescent="0.25">
      <c r="A12" s="14"/>
      <c r="B12" s="16"/>
      <c r="C12" s="16"/>
      <c r="D12" s="22"/>
      <c r="E12" s="22"/>
      <c r="F12" s="16"/>
      <c r="G12" s="16"/>
      <c r="H12" s="16"/>
      <c r="I12" s="16"/>
      <c r="J12" s="16"/>
      <c r="K12" s="16"/>
      <c r="L12" s="18" t="s">
        <v>87</v>
      </c>
      <c r="M12" s="18"/>
      <c r="N12" s="18"/>
      <c r="O12" s="16"/>
      <c r="P12" s="16"/>
      <c r="Q12" s="16"/>
      <c r="R12" s="16"/>
      <c r="S12" s="16"/>
      <c r="T12" s="16"/>
    </row>
    <row r="13" spans="1:22" x14ac:dyDescent="0.25">
      <c r="A13" s="14"/>
      <c r="B13" s="18" t="s">
        <v>34</v>
      </c>
      <c r="C13" s="18"/>
      <c r="D13" s="29" t="s">
        <v>95</v>
      </c>
      <c r="E13" s="21" t="s">
        <v>92</v>
      </c>
      <c r="F13" s="16"/>
      <c r="G13" s="16"/>
      <c r="H13" s="16"/>
      <c r="I13" s="16"/>
      <c r="J13" s="16"/>
      <c r="K13" s="16"/>
      <c r="L13" s="16" t="s">
        <v>88</v>
      </c>
      <c r="M13" s="16"/>
      <c r="N13" s="20">
        <v>7</v>
      </c>
      <c r="O13" s="16"/>
      <c r="P13" s="16"/>
      <c r="Q13" s="16"/>
      <c r="R13" s="16"/>
      <c r="S13" s="16"/>
      <c r="T13" s="16"/>
      <c r="V13" s="10"/>
    </row>
    <row r="14" spans="1:22" x14ac:dyDescent="0.25">
      <c r="A14" s="1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V14" s="10"/>
    </row>
    <row r="15" spans="1:22" x14ac:dyDescent="0.25">
      <c r="A15" s="1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V15" s="10"/>
    </row>
    <row r="16" spans="1:22" x14ac:dyDescent="0.25">
      <c r="A16" s="14"/>
      <c r="T16" s="16"/>
    </row>
    <row r="17" spans="1:21" ht="16.5" thickBot="1" x14ac:dyDescent="0.3">
      <c r="A17" s="14"/>
      <c r="B17" s="43" t="s">
        <v>5</v>
      </c>
      <c r="C17" s="39"/>
      <c r="D17" s="41" t="str">
        <f>IF(D13="Straße","Rennfahrwerk","Rallyefahrwerk")</f>
        <v>Rennfahrwerk</v>
      </c>
      <c r="E17" s="17"/>
      <c r="F17" s="16"/>
      <c r="G17" s="43" t="s">
        <v>7</v>
      </c>
      <c r="H17" s="39"/>
      <c r="I17" s="40"/>
      <c r="J17" s="16"/>
      <c r="K17" s="16"/>
      <c r="L17" s="44" t="s">
        <v>51</v>
      </c>
      <c r="M17" s="40"/>
      <c r="N17" s="40"/>
      <c r="O17" s="16"/>
      <c r="P17" s="16"/>
      <c r="Q17" s="43" t="s">
        <v>85</v>
      </c>
      <c r="R17" s="42"/>
      <c r="S17" s="41" t="str">
        <f>IF(D11="RWD","Rallye",IF(D11="AWD","Race","Offroad (Rallye)"))</f>
        <v>Offroad (Rallye)</v>
      </c>
      <c r="T17" s="16"/>
    </row>
    <row r="18" spans="1:21" x14ac:dyDescent="0.25">
      <c r="A18" s="1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20"/>
      <c r="M18" s="16"/>
      <c r="N18" s="16"/>
      <c r="O18" s="16"/>
      <c r="P18" s="16"/>
      <c r="Q18" s="16"/>
      <c r="R18" s="16"/>
      <c r="T18" s="16"/>
    </row>
    <row r="19" spans="1:21" x14ac:dyDescent="0.25">
      <c r="A19" s="14"/>
      <c r="B19" s="18" t="s">
        <v>42</v>
      </c>
      <c r="C19" s="18"/>
      <c r="D19" s="18"/>
      <c r="E19" s="16"/>
      <c r="F19" s="16"/>
      <c r="G19" s="18" t="s">
        <v>37</v>
      </c>
      <c r="H19" s="18"/>
      <c r="I19" s="18"/>
      <c r="J19" s="16"/>
      <c r="K19" s="16"/>
      <c r="L19" s="23" t="s">
        <v>52</v>
      </c>
      <c r="M19" s="18"/>
      <c r="N19" s="18"/>
      <c r="O19" s="16"/>
      <c r="P19" s="16"/>
      <c r="Q19" s="18" t="s">
        <v>16</v>
      </c>
      <c r="R19" s="18"/>
      <c r="S19" s="18"/>
      <c r="T19" s="16"/>
    </row>
    <row r="20" spans="1:21" x14ac:dyDescent="0.25">
      <c r="A20" s="14"/>
      <c r="B20" s="16" t="s">
        <v>16</v>
      </c>
      <c r="C20" s="16"/>
      <c r="D20" s="20">
        <f ca="1">CALC!P24</f>
        <v>112.26323999999998</v>
      </c>
      <c r="E20" s="16"/>
      <c r="F20" s="16"/>
      <c r="G20" s="16" t="s">
        <v>16</v>
      </c>
      <c r="H20" s="16"/>
      <c r="I20" s="20">
        <f ca="1">CALC!S19</f>
        <v>10.348749999999999</v>
      </c>
      <c r="J20" s="16"/>
      <c r="K20" s="16"/>
      <c r="L20" s="20" t="s">
        <v>1</v>
      </c>
      <c r="M20" s="16"/>
      <c r="N20" s="24">
        <f ca="1">CALC!V11</f>
        <v>56</v>
      </c>
      <c r="O20" s="16"/>
      <c r="P20" s="16"/>
      <c r="Q20" s="16" t="s">
        <v>90</v>
      </c>
      <c r="R20" s="16"/>
      <c r="S20" s="35">
        <f>IF(D11="RWD","––",CALC!Y10)</f>
        <v>45.28125</v>
      </c>
      <c r="T20" s="16"/>
    </row>
    <row r="21" spans="1:21" x14ac:dyDescent="0.25">
      <c r="A21" s="14"/>
      <c r="B21" s="16" t="s">
        <v>17</v>
      </c>
      <c r="C21" s="16"/>
      <c r="D21" s="20">
        <f ca="1">CALC!P25</f>
        <v>118.25676</v>
      </c>
      <c r="E21" s="16"/>
      <c r="F21" s="16"/>
      <c r="G21" s="16" t="s">
        <v>17</v>
      </c>
      <c r="H21" s="16"/>
      <c r="I21" s="20">
        <f ca="1">CALC!S20</f>
        <v>10.901250000000001</v>
      </c>
      <c r="J21" s="16"/>
      <c r="K21" s="16"/>
      <c r="L21" s="20"/>
      <c r="M21" s="16"/>
      <c r="N21" s="16"/>
      <c r="O21" s="16"/>
      <c r="P21" s="16"/>
      <c r="Q21" s="16" t="s">
        <v>91</v>
      </c>
      <c r="R21" s="16"/>
      <c r="S21" s="35">
        <f>IF(D11="RWD","––",CALC!Y14)</f>
        <v>2.2640625000000001</v>
      </c>
      <c r="T21" s="16"/>
    </row>
    <row r="22" spans="1:21" x14ac:dyDescent="0.25">
      <c r="A22" s="14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20"/>
      <c r="M22" s="16"/>
      <c r="N22" s="16"/>
      <c r="O22" s="16"/>
      <c r="P22" s="16"/>
      <c r="Q22" s="16"/>
      <c r="R22" s="16"/>
      <c r="S22" s="16"/>
      <c r="T22" s="16"/>
    </row>
    <row r="23" spans="1:21" x14ac:dyDescent="0.25">
      <c r="A23" s="14"/>
      <c r="B23" s="18" t="s">
        <v>1</v>
      </c>
      <c r="C23" s="25">
        <f ca="1">DATA!J5</f>
        <v>0</v>
      </c>
      <c r="D23" s="18"/>
      <c r="E23" s="16"/>
      <c r="F23" s="16"/>
      <c r="G23" s="18" t="s">
        <v>38</v>
      </c>
      <c r="H23" s="18"/>
      <c r="I23" s="23"/>
      <c r="J23" s="16"/>
      <c r="K23" s="16"/>
      <c r="L23" s="23" t="s">
        <v>52</v>
      </c>
      <c r="M23" s="18"/>
      <c r="N23" s="18"/>
      <c r="O23" s="16"/>
      <c r="P23" s="16"/>
      <c r="Q23" s="18" t="s">
        <v>17</v>
      </c>
      <c r="R23" s="18"/>
      <c r="S23" s="18"/>
      <c r="T23" s="16"/>
    </row>
    <row r="24" spans="1:21" x14ac:dyDescent="0.25">
      <c r="A24" s="14"/>
      <c r="B24" s="11" t="s">
        <v>16</v>
      </c>
      <c r="C24" s="16"/>
      <c r="D24" s="13" t="s">
        <v>17</v>
      </c>
      <c r="E24" s="16"/>
      <c r="F24" s="16"/>
      <c r="G24" s="16" t="s">
        <v>16</v>
      </c>
      <c r="H24" s="16"/>
      <c r="I24" s="20">
        <f ca="1">CALC!S23</f>
        <v>4.4396137499999995</v>
      </c>
      <c r="J24" s="16"/>
      <c r="K24" s="16"/>
      <c r="L24" s="20" t="s">
        <v>53</v>
      </c>
      <c r="M24" s="16"/>
      <c r="N24" s="24">
        <f>CALC!V16</f>
        <v>104.5</v>
      </c>
      <c r="O24" s="16"/>
      <c r="P24" s="16"/>
      <c r="Q24" s="16" t="s">
        <v>90</v>
      </c>
      <c r="R24" s="16"/>
      <c r="S24" s="35" t="str">
        <f>IF(D11="FWD","––",CALC!Y11)</f>
        <v>––</v>
      </c>
      <c r="T24" s="16"/>
    </row>
    <row r="25" spans="1:21" x14ac:dyDescent="0.25">
      <c r="A25" s="14"/>
      <c r="B25" s="16"/>
      <c r="C25" s="16"/>
      <c r="D25" s="16"/>
      <c r="E25" s="16"/>
      <c r="F25" s="16"/>
      <c r="G25" s="16" t="s">
        <v>17</v>
      </c>
      <c r="H25" s="16"/>
      <c r="I25" s="20">
        <f ca="1">CALC!S24</f>
        <v>4.6766362500000005</v>
      </c>
      <c r="J25" s="16"/>
      <c r="K25" s="16"/>
      <c r="L25" s="20"/>
      <c r="M25" s="16"/>
      <c r="N25" s="16"/>
      <c r="O25" s="16"/>
      <c r="P25" s="16"/>
      <c r="Q25" s="16" t="s">
        <v>91</v>
      </c>
      <c r="R25" s="16"/>
      <c r="S25" s="35" t="str">
        <f>IF(D11="FWD","––",CALC!Y15)</f>
        <v>––</v>
      </c>
      <c r="T25" s="16"/>
    </row>
    <row r="26" spans="1:21" x14ac:dyDescent="0.25">
      <c r="A26" s="14"/>
      <c r="B26" s="26" t="s">
        <v>31</v>
      </c>
      <c r="C26" s="27">
        <f ca="1">DATA!N5</f>
        <v>0</v>
      </c>
      <c r="D26" s="18"/>
      <c r="E26" s="16"/>
      <c r="F26" s="16"/>
      <c r="G26" s="16"/>
      <c r="H26" s="16"/>
      <c r="I26" s="16"/>
      <c r="J26" s="16"/>
      <c r="K26" s="16"/>
      <c r="L26" s="23" t="s">
        <v>1</v>
      </c>
      <c r="M26" s="28">
        <f ca="1">DATA!R5</f>
        <v>0</v>
      </c>
      <c r="N26" s="18"/>
      <c r="O26" s="16"/>
      <c r="P26" s="16"/>
      <c r="Q26" s="16"/>
      <c r="R26" s="16"/>
      <c r="S26" s="16"/>
      <c r="T26" s="16"/>
    </row>
    <row r="27" spans="1:21" x14ac:dyDescent="0.25">
      <c r="A27" s="30"/>
      <c r="B27" s="11" t="s">
        <v>41</v>
      </c>
      <c r="C27" s="16"/>
      <c r="D27" s="13" t="s">
        <v>40</v>
      </c>
      <c r="E27" s="16"/>
      <c r="F27" s="16"/>
      <c r="G27" s="16"/>
      <c r="H27" s="16"/>
      <c r="I27" s="16"/>
      <c r="J27" s="16"/>
      <c r="K27" s="16"/>
      <c r="L27" s="12" t="s">
        <v>16</v>
      </c>
      <c r="M27" s="16"/>
      <c r="N27" s="13" t="s">
        <v>17</v>
      </c>
      <c r="O27" s="16"/>
      <c r="P27" s="16"/>
      <c r="Q27" s="18" t="s">
        <v>89</v>
      </c>
      <c r="R27" s="18"/>
      <c r="S27" s="18"/>
      <c r="T27" s="31"/>
      <c r="U27" s="32"/>
    </row>
    <row r="28" spans="1:21" x14ac:dyDescent="0.25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 t="s">
        <v>1</v>
      </c>
      <c r="R28" s="31"/>
      <c r="S28" s="36" t="str">
        <f>IF(D11="AWD",CALC!Y22,"––")</f>
        <v>––</v>
      </c>
      <c r="T28" s="31"/>
      <c r="U28" s="32"/>
    </row>
    <row r="29" spans="1:21" x14ac:dyDescent="0.25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3"/>
      <c r="S29" s="31"/>
      <c r="T29" s="31"/>
      <c r="U29" s="32"/>
    </row>
    <row r="30" spans="1:2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4"/>
      <c r="S30" s="30"/>
      <c r="T30" s="30"/>
      <c r="U30" s="32"/>
    </row>
    <row r="31" spans="1:2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4"/>
      <c r="S31" s="30"/>
      <c r="T31" s="30"/>
      <c r="U31" s="32"/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Scroll Bar 4">
              <controlPr defaultSize="0" autoPict="0">
                <anchor moveWithCells="1">
                  <from>
                    <xdr:col>1</xdr:col>
                    <xdr:colOff>390525</xdr:colOff>
                    <xdr:row>23</xdr:row>
                    <xdr:rowOff>28575</xdr:rowOff>
                  </from>
                  <to>
                    <xdr:col>3</xdr:col>
                    <xdr:colOff>409575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1</xdr:col>
                    <xdr:colOff>409575</xdr:colOff>
                    <xdr:row>26</xdr:row>
                    <xdr:rowOff>28575</xdr:rowOff>
                  </from>
                  <to>
                    <xdr:col>3</xdr:col>
                    <xdr:colOff>438150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Scroll Bar 7">
              <controlPr defaultSize="0" autoPict="0">
                <anchor moveWithCells="1">
                  <from>
                    <xdr:col>11</xdr:col>
                    <xdr:colOff>381000</xdr:colOff>
                    <xdr:row>26</xdr:row>
                    <xdr:rowOff>28575</xdr:rowOff>
                  </from>
                  <to>
                    <xdr:col>13</xdr:col>
                    <xdr:colOff>400050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List Box 19">
              <controlPr defaultSize="0" autoLine="0" autoPict="0">
                <anchor moveWithCells="1">
                  <from>
                    <xdr:col>5</xdr:col>
                    <xdr:colOff>180975</xdr:colOff>
                    <xdr:row>8</xdr:row>
                    <xdr:rowOff>47625</xdr:rowOff>
                  </from>
                  <to>
                    <xdr:col>9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13</xdr:col>
                    <xdr:colOff>361950</xdr:colOff>
                    <xdr:row>15</xdr:row>
                    <xdr:rowOff>180975</xdr:rowOff>
                  </from>
                  <to>
                    <xdr:col>14</xdr:col>
                    <xdr:colOff>28575</xdr:colOff>
                    <xdr:row>16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F8FC9E2-768B-4E1B-9540-EA5CE46A718F}">
          <x14:formula1>
            <xm:f>DATA!$B$3:$B$5</xm:f>
          </x14:formula1>
          <xm:sqref>D11</xm:sqref>
        </x14:dataValidation>
        <x14:dataValidation type="list" allowBlank="1" showInputMessage="1" showErrorMessage="1" xr:uid="{7AAE5BD5-8F13-429D-A8EF-290427971909}">
          <x14:formula1>
            <xm:f>DATA!$C$3:$C$5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6484-6E19-4CCC-87AE-6C46CD59A14B}">
  <dimension ref="C3:L21"/>
  <sheetViews>
    <sheetView workbookViewId="0">
      <selection activeCell="A62" sqref="A62"/>
    </sheetView>
  </sheetViews>
  <sheetFormatPr baseColWidth="10" defaultRowHeight="15" x14ac:dyDescent="0.25"/>
  <cols>
    <col min="1" max="6" width="11.7109375" style="9" customWidth="1"/>
    <col min="7" max="7" width="2.7109375" style="9" customWidth="1"/>
    <col min="8" max="8" width="6.28515625" style="9" customWidth="1"/>
    <col min="9" max="34" width="11.7109375" style="9" customWidth="1"/>
    <col min="35" max="16384" width="11.42578125" style="9"/>
  </cols>
  <sheetData>
    <row r="3" spans="3:12" ht="15.75" thickBot="1" x14ac:dyDescent="0.3">
      <c r="D3" s="46" t="s">
        <v>129</v>
      </c>
      <c r="E3" s="46"/>
      <c r="F3" s="46">
        <v>500</v>
      </c>
      <c r="J3" s="47" t="s">
        <v>111</v>
      </c>
      <c r="K3" s="47"/>
      <c r="L3" s="52">
        <f ca="1">'Gearing DataCalc'!F7</f>
        <v>3.3849999999999998</v>
      </c>
    </row>
    <row r="4" spans="3:12" x14ac:dyDescent="0.25">
      <c r="D4" s="45"/>
      <c r="E4" s="45"/>
      <c r="F4" s="49"/>
      <c r="J4" s="45"/>
      <c r="K4" s="45"/>
      <c r="L4" s="53"/>
    </row>
    <row r="5" spans="3:12" ht="15.75" thickBot="1" x14ac:dyDescent="0.3">
      <c r="D5" s="46" t="s">
        <v>137</v>
      </c>
      <c r="E5" s="46"/>
      <c r="F5" s="46">
        <v>7000</v>
      </c>
      <c r="J5" s="47" t="s">
        <v>112</v>
      </c>
      <c r="K5" s="47"/>
      <c r="L5" s="52">
        <f ca="1">'Gearing DataCalc'!F8</f>
        <v>2.1199283110422775</v>
      </c>
    </row>
    <row r="6" spans="3:12" x14ac:dyDescent="0.25">
      <c r="J6" s="45"/>
      <c r="K6" s="45"/>
      <c r="L6" s="53"/>
    </row>
    <row r="7" spans="3:12" ht="15.75" thickBot="1" x14ac:dyDescent="0.3">
      <c r="D7" s="46" t="s">
        <v>134</v>
      </c>
      <c r="E7" s="46"/>
      <c r="F7" s="50">
        <v>4</v>
      </c>
      <c r="G7" s="51" t="s">
        <v>92</v>
      </c>
      <c r="J7" s="47" t="s">
        <v>113</v>
      </c>
      <c r="K7" s="47"/>
      <c r="L7" s="52">
        <f ca="1">'Gearing DataCalc'!F9</f>
        <v>1.389377208769929</v>
      </c>
    </row>
    <row r="8" spans="3:12" x14ac:dyDescent="0.25">
      <c r="J8" s="45"/>
      <c r="K8" s="45"/>
      <c r="L8" s="53"/>
    </row>
    <row r="9" spans="3:12" ht="15.75" thickBot="1" x14ac:dyDescent="0.3">
      <c r="J9" s="47" t="s">
        <v>114</v>
      </c>
      <c r="K9" s="47"/>
      <c r="L9" s="52">
        <f ca="1">'Gearing DataCalc'!F10</f>
        <v>0.96750000000000003</v>
      </c>
    </row>
    <row r="10" spans="3:12" x14ac:dyDescent="0.25">
      <c r="J10" s="45"/>
      <c r="K10" s="45"/>
      <c r="L10" s="53"/>
    </row>
    <row r="11" spans="3:12" ht="15.75" thickBot="1" x14ac:dyDescent="0.3">
      <c r="C11" s="47" t="s">
        <v>138</v>
      </c>
      <c r="D11" s="56"/>
      <c r="E11" s="57">
        <f ca="1">'Gearing DataCalc'!M3</f>
        <v>0</v>
      </c>
      <c r="F11" s="48"/>
      <c r="G11" s="48"/>
      <c r="H11" s="48"/>
      <c r="J11" s="47" t="s">
        <v>115</v>
      </c>
      <c r="K11" s="47"/>
      <c r="L11" s="52" t="str">
        <f>IF('Gearing DataCalc'!F11="","",'Gearing DataCalc'!F11)</f>
        <v/>
      </c>
    </row>
    <row r="12" spans="3:12" x14ac:dyDescent="0.25">
      <c r="C12" s="55" t="s">
        <v>139</v>
      </c>
      <c r="G12" s="60" t="s">
        <v>140</v>
      </c>
      <c r="H12" s="60"/>
      <c r="J12" s="45"/>
      <c r="K12" s="45"/>
      <c r="L12" s="53"/>
    </row>
    <row r="13" spans="3:12" ht="15.75" thickBot="1" x14ac:dyDescent="0.3">
      <c r="J13" s="47" t="s">
        <v>116</v>
      </c>
      <c r="K13" s="47"/>
      <c r="L13" s="52" t="str">
        <f>IF('Gearing DataCalc'!F12="","",'Gearing DataCalc'!F12)</f>
        <v/>
      </c>
    </row>
    <row r="14" spans="3:12" x14ac:dyDescent="0.25">
      <c r="J14" s="45"/>
      <c r="K14" s="45"/>
      <c r="L14" s="53"/>
    </row>
    <row r="15" spans="3:12" ht="15.75" thickBot="1" x14ac:dyDescent="0.3">
      <c r="C15" s="47" t="s">
        <v>141</v>
      </c>
      <c r="D15" s="56"/>
      <c r="E15" s="57">
        <f ca="1">'Gearing DataCalc'!M4</f>
        <v>0</v>
      </c>
      <c r="F15" s="48"/>
      <c r="G15" s="48"/>
      <c r="H15" s="48"/>
      <c r="J15" s="47" t="s">
        <v>125</v>
      </c>
      <c r="K15" s="47"/>
      <c r="L15" s="52" t="str">
        <f>IF('Gearing DataCalc'!F13="","",'Gearing DataCalc'!F13)</f>
        <v/>
      </c>
    </row>
    <row r="16" spans="3:12" x14ac:dyDescent="0.25">
      <c r="C16" s="54" t="s">
        <v>139</v>
      </c>
      <c r="G16" s="60" t="s">
        <v>140</v>
      </c>
      <c r="H16" s="60"/>
      <c r="J16" s="45"/>
      <c r="K16" s="45"/>
      <c r="L16" s="53"/>
    </row>
    <row r="17" spans="3:12" ht="15.75" thickBot="1" x14ac:dyDescent="0.3">
      <c r="J17" s="47" t="s">
        <v>126</v>
      </c>
      <c r="K17" s="47"/>
      <c r="L17" s="52" t="str">
        <f>IF('Gearing DataCalc'!F14="","",'Gearing DataCalc'!F14)</f>
        <v/>
      </c>
    </row>
    <row r="18" spans="3:12" x14ac:dyDescent="0.25">
      <c r="J18" s="45"/>
      <c r="K18" s="45"/>
      <c r="L18" s="53"/>
    </row>
    <row r="19" spans="3:12" ht="15.75" thickBot="1" x14ac:dyDescent="0.3">
      <c r="C19" s="58" t="s">
        <v>143</v>
      </c>
      <c r="D19" s="47"/>
      <c r="E19" s="57">
        <f ca="1">'Gearing DataCalc'!M5</f>
        <v>-1.9984014443252799E-14</v>
      </c>
      <c r="F19" s="47"/>
      <c r="G19" s="47"/>
      <c r="H19" s="47"/>
      <c r="J19" s="47" t="s">
        <v>127</v>
      </c>
      <c r="K19" s="47"/>
      <c r="L19" s="52" t="str">
        <f>IF('Gearing DataCalc'!F15="","",'Gearing DataCalc'!F15)</f>
        <v/>
      </c>
    </row>
    <row r="20" spans="3:12" x14ac:dyDescent="0.25">
      <c r="C20" s="54" t="s">
        <v>144</v>
      </c>
      <c r="H20" s="59" t="s">
        <v>145</v>
      </c>
      <c r="J20" s="45"/>
      <c r="K20" s="45"/>
      <c r="L20" s="53"/>
    </row>
    <row r="21" spans="3:12" ht="15.75" thickBot="1" x14ac:dyDescent="0.3">
      <c r="J21" s="47" t="s">
        <v>128</v>
      </c>
      <c r="K21" s="47"/>
      <c r="L21" s="52" t="str">
        <f>IF('Gearing DataCalc'!F16="","",'Gearing DataCalc'!F16)</f>
        <v/>
      </c>
    </row>
  </sheetData>
  <mergeCells count="2">
    <mergeCell ref="G12:H12"/>
    <mergeCell ref="G16:H16"/>
  </mergeCells>
  <phoneticPr fontId="14" type="noConversion"/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croll Bar 2">
              <controlPr defaultSize="0" autoPict="0">
                <anchor moveWithCells="1">
                  <from>
                    <xdr:col>2</xdr:col>
                    <xdr:colOff>676275</xdr:colOff>
                    <xdr:row>11</xdr:row>
                    <xdr:rowOff>9525</xdr:rowOff>
                  </from>
                  <to>
                    <xdr:col>6</xdr:col>
                    <xdr:colOff>95250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Scroll Bar 3">
              <controlPr defaultSize="0" autoPict="0">
                <anchor moveWithCells="1">
                  <from>
                    <xdr:col>2</xdr:col>
                    <xdr:colOff>666750</xdr:colOff>
                    <xdr:row>15</xdr:row>
                    <xdr:rowOff>9525</xdr:rowOff>
                  </from>
                  <to>
                    <xdr:col>6</xdr:col>
                    <xdr:colOff>104775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croll Bar 4">
              <controlPr defaultSize="0" autoPict="0">
                <anchor moveWithCells="1">
                  <from>
                    <xdr:col>2</xdr:col>
                    <xdr:colOff>647700</xdr:colOff>
                    <xdr:row>19</xdr:row>
                    <xdr:rowOff>9525</xdr:rowOff>
                  </from>
                  <to>
                    <xdr:col>6</xdr:col>
                    <xdr:colOff>85725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B6344A-398D-455B-BE49-8C52BC76BA6E}">
          <x14:formula1>
            <xm:f>'Gearing DataCalc'!$U$3:$U$8</xm:f>
          </x14:formula1>
          <xm:sqref>F7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4A36E-B788-462A-B27E-00069DB2F488}">
  <sheetPr codeName="Tabelle2"/>
  <dimension ref="A3:Y25"/>
  <sheetViews>
    <sheetView workbookViewId="0">
      <selection activeCell="J11" sqref="J11"/>
    </sheetView>
  </sheetViews>
  <sheetFormatPr baseColWidth="10" defaultRowHeight="15" x14ac:dyDescent="0.25"/>
  <cols>
    <col min="2" max="2" width="18.7109375" bestFit="1" customWidth="1"/>
    <col min="6" max="6" width="15.5703125" bestFit="1" customWidth="1"/>
    <col min="10" max="11" width="13.85546875" bestFit="1" customWidth="1"/>
    <col min="13" max="13" width="13.85546875" bestFit="1" customWidth="1"/>
    <col min="15" max="15" width="13.85546875" customWidth="1"/>
    <col min="16" max="16" width="17.28515625" bestFit="1" customWidth="1"/>
    <col min="21" max="21" width="17.28515625" bestFit="1" customWidth="1"/>
    <col min="22" max="22" width="10.85546875" customWidth="1"/>
    <col min="24" max="24" width="15" bestFit="1" customWidth="1"/>
  </cols>
  <sheetData>
    <row r="3" spans="1:25" x14ac:dyDescent="0.25">
      <c r="B3" t="s">
        <v>13</v>
      </c>
      <c r="C3">
        <f ca="1">((C5+C4)/2)</f>
        <v>0.112508</v>
      </c>
      <c r="F3" t="s">
        <v>61</v>
      </c>
      <c r="I3" t="s">
        <v>84</v>
      </c>
      <c r="L3" t="s">
        <v>6</v>
      </c>
      <c r="O3" t="s">
        <v>5</v>
      </c>
      <c r="R3" t="s">
        <v>7</v>
      </c>
      <c r="U3" t="s">
        <v>51</v>
      </c>
      <c r="X3" t="s">
        <v>85</v>
      </c>
    </row>
    <row r="4" spans="1:25" x14ac:dyDescent="0.25">
      <c r="B4" t="s">
        <v>15</v>
      </c>
      <c r="C4" s="1">
        <f>0.0406</f>
        <v>4.0599999999999997E-2</v>
      </c>
    </row>
    <row r="5" spans="1:25" x14ac:dyDescent="0.25">
      <c r="B5" t="s">
        <v>14</v>
      </c>
      <c r="C5" s="5">
        <f ca="1">(0.204*P11)*P15</f>
        <v>0.184416</v>
      </c>
      <c r="D5">
        <v>0.19645199999999999</v>
      </c>
      <c r="F5" t="s">
        <v>72</v>
      </c>
      <c r="G5">
        <v>6.8947599999999998E-2</v>
      </c>
      <c r="I5" t="s">
        <v>98</v>
      </c>
      <c r="J5">
        <f>'Redux v0.4'!D7</f>
        <v>225</v>
      </c>
      <c r="L5" t="s">
        <v>29</v>
      </c>
      <c r="M5">
        <v>1.1000000000000001</v>
      </c>
      <c r="O5" t="s">
        <v>20</v>
      </c>
      <c r="P5" s="4">
        <f ca="1">'Redux v0.4'!D5*CALC!C5</f>
        <v>230.51999999999998</v>
      </c>
      <c r="R5" t="s">
        <v>21</v>
      </c>
      <c r="S5">
        <v>20</v>
      </c>
      <c r="U5" t="s">
        <v>54</v>
      </c>
      <c r="V5" s="2">
        <f>'Redux v0.4'!D7/('Redux v0.4'!D7+'Redux v0.4'!D8)</f>
        <v>0.5</v>
      </c>
      <c r="X5" t="s">
        <v>98</v>
      </c>
      <c r="Y5">
        <f>'Redux v0.4'!D7</f>
        <v>225</v>
      </c>
    </row>
    <row r="6" spans="1:25" x14ac:dyDescent="0.25">
      <c r="C6">
        <v>0.89</v>
      </c>
      <c r="F6" t="s">
        <v>62</v>
      </c>
      <c r="G6">
        <f ca="1">DATA!F4</f>
        <v>24</v>
      </c>
      <c r="I6" t="s">
        <v>18</v>
      </c>
      <c r="J6">
        <f>'Redux v0.4'!D8</f>
        <v>225</v>
      </c>
      <c r="L6" t="s">
        <v>27</v>
      </c>
      <c r="M6">
        <v>4</v>
      </c>
      <c r="O6" t="s">
        <v>8</v>
      </c>
      <c r="P6" s="4">
        <f ca="1">P5*C7</f>
        <v>112.26323999999998</v>
      </c>
      <c r="R6" t="s">
        <v>26</v>
      </c>
      <c r="S6">
        <f>('Redux v0.4'!D5/2)/10000+1</f>
        <v>1.0625</v>
      </c>
      <c r="U6" t="s">
        <v>55</v>
      </c>
      <c r="V6" s="2">
        <f>'Redux v0.4'!D6/100</f>
        <v>0.5</v>
      </c>
      <c r="X6" t="s">
        <v>18</v>
      </c>
      <c r="Y6">
        <f>'Redux v0.4'!D8</f>
        <v>225</v>
      </c>
    </row>
    <row r="7" spans="1:25" x14ac:dyDescent="0.25">
      <c r="B7" t="s">
        <v>8</v>
      </c>
      <c r="C7">
        <f ca="1">('Redux v0.4'!D6/100)-P22</f>
        <v>0.48699999999999999</v>
      </c>
      <c r="F7" t="s">
        <v>82</v>
      </c>
      <c r="G7" s="2">
        <f ca="1">G6*G5</f>
        <v>1.6547423999999999</v>
      </c>
      <c r="L7" t="s">
        <v>30</v>
      </c>
      <c r="M7">
        <v>5</v>
      </c>
      <c r="O7" t="s">
        <v>9</v>
      </c>
      <c r="P7" s="4">
        <f ca="1">P5*C8</f>
        <v>118.25676</v>
      </c>
    </row>
    <row r="8" spans="1:25" x14ac:dyDescent="0.25">
      <c r="A8" t="s">
        <v>11</v>
      </c>
      <c r="B8" t="s">
        <v>9</v>
      </c>
      <c r="C8">
        <f ca="1">(1-'Redux v0.4'!D6/100)+P22</f>
        <v>0.51300000000000001</v>
      </c>
      <c r="F8" t="s">
        <v>81</v>
      </c>
      <c r="G8" s="2">
        <f>'Redux v0.4'!D6/100</f>
        <v>0.5</v>
      </c>
      <c r="J8">
        <v>1.4</v>
      </c>
      <c r="L8" t="s">
        <v>28</v>
      </c>
      <c r="M8">
        <v>4.5</v>
      </c>
      <c r="O8" t="s">
        <v>10</v>
      </c>
      <c r="P8">
        <f>IF('Redux v0.4'!D9&gt;0,C10/10+1,1)</f>
        <v>1</v>
      </c>
      <c r="R8" t="s">
        <v>8</v>
      </c>
      <c r="S8">
        <f ca="1">(S5*S6)*C7</f>
        <v>10.348749999999999</v>
      </c>
      <c r="U8" t="s">
        <v>56</v>
      </c>
      <c r="V8">
        <f>IF('Redux v0.4'!D11="FWD",2,1)</f>
        <v>2</v>
      </c>
      <c r="X8" t="s">
        <v>90</v>
      </c>
      <c r="Y8">
        <v>100</v>
      </c>
    </row>
    <row r="9" spans="1:25" x14ac:dyDescent="0.25">
      <c r="I9" t="s">
        <v>16</v>
      </c>
      <c r="J9">
        <f>ROUNDDOWN(J5/500,1)</f>
        <v>0.4</v>
      </c>
      <c r="O9" t="s">
        <v>12</v>
      </c>
      <c r="P9">
        <f>IF('Redux v0.4'!D9&gt;0,C11/10+1,1)</f>
        <v>1</v>
      </c>
      <c r="R9" t="s">
        <v>9</v>
      </c>
      <c r="S9">
        <f ca="1">(S5*S6)*C8</f>
        <v>10.901250000000001</v>
      </c>
      <c r="U9" t="s">
        <v>57</v>
      </c>
      <c r="V9">
        <f ca="1">DATA!R4</f>
        <v>0</v>
      </c>
      <c r="X9" t="s">
        <v>56</v>
      </c>
      <c r="Y9">
        <f>IF('Redux v0.4'!D11="FWD",0.63,1)</f>
        <v>0.63</v>
      </c>
    </row>
    <row r="10" spans="1:25" x14ac:dyDescent="0.25">
      <c r="B10" t="s">
        <v>10</v>
      </c>
      <c r="C10">
        <f>'Redux v0.4'!D9</f>
        <v>0</v>
      </c>
      <c r="F10" t="s">
        <v>75</v>
      </c>
      <c r="G10" s="2">
        <f>'Redux v0.4'!D6/500+1</f>
        <v>1.1000000000000001</v>
      </c>
      <c r="I10" t="s">
        <v>17</v>
      </c>
      <c r="J10">
        <f>ROUNDDOWN(J6/458,1)</f>
        <v>0.4</v>
      </c>
      <c r="L10" t="s">
        <v>104</v>
      </c>
      <c r="M10" s="3">
        <f>(65*C13)/M8</f>
        <v>7.2222222222222223</v>
      </c>
      <c r="R10" t="s">
        <v>10</v>
      </c>
      <c r="S10">
        <f>IF('Redux v0.4'!D9&gt;0,C10/10+1,1)</f>
        <v>1</v>
      </c>
      <c r="U10" t="s">
        <v>83</v>
      </c>
      <c r="V10">
        <f>IF('Redux v0.4'!D6&lt;41,2,0)</f>
        <v>0</v>
      </c>
      <c r="X10" t="s">
        <v>16</v>
      </c>
      <c r="Y10" s="3">
        <f>(Y8-Y5/8)*Y9</f>
        <v>45.28125</v>
      </c>
    </row>
    <row r="11" spans="1:25" x14ac:dyDescent="0.25">
      <c r="B11" t="s">
        <v>12</v>
      </c>
      <c r="C11">
        <f>1-'Redux v0.4'!D9</f>
        <v>1</v>
      </c>
      <c r="F11" t="s">
        <v>9</v>
      </c>
      <c r="G11" s="2">
        <f>(1-G8)/5+1</f>
        <v>1.1000000000000001</v>
      </c>
      <c r="L11" t="s">
        <v>32</v>
      </c>
      <c r="M11" s="2">
        <v>65</v>
      </c>
      <c r="O11" t="s">
        <v>31</v>
      </c>
      <c r="P11">
        <f>IF('Redux v0.4'!D13="Straße",CALC!P12,IF('Redux v0.4'!D13="Rallye",CALC!P13,CALC!P14))</f>
        <v>0.90400000000000003</v>
      </c>
      <c r="R11" t="s">
        <v>12</v>
      </c>
      <c r="S11">
        <f>IF('Redux v0.4'!D9&gt;0,C11/10+1,1)</f>
        <v>1</v>
      </c>
      <c r="U11" t="s">
        <v>1</v>
      </c>
      <c r="V11" s="3">
        <f ca="1">(V5*100+4)+V8+V9+V10</f>
        <v>56</v>
      </c>
      <c r="X11" t="s">
        <v>17</v>
      </c>
      <c r="Y11" s="3">
        <f>Y8-Y6/7</f>
        <v>67.857142857142861</v>
      </c>
    </row>
    <row r="12" spans="1:25" x14ac:dyDescent="0.25">
      <c r="F12" t="s">
        <v>76</v>
      </c>
      <c r="G12" s="2">
        <f>'Redux v0.4'!D5/100000+1</f>
        <v>1.0125</v>
      </c>
      <c r="I12" t="s">
        <v>16</v>
      </c>
      <c r="J12" s="4">
        <f>(J8-J9)*-1</f>
        <v>-0.99999999999999989</v>
      </c>
      <c r="L12" t="s">
        <v>33</v>
      </c>
      <c r="M12" s="2">
        <f>(J6/(J5+J6))*65*1.43</f>
        <v>46.475000000000001</v>
      </c>
      <c r="O12" t="s">
        <v>32</v>
      </c>
      <c r="P12">
        <v>0.90400000000000003</v>
      </c>
    </row>
    <row r="13" spans="1:25" x14ac:dyDescent="0.25">
      <c r="B13" t="s">
        <v>19</v>
      </c>
      <c r="C13" s="2">
        <f>'Redux v0.4'!D7/('Redux v0.4'!D7+'Redux v0.4'!D8)</f>
        <v>0.5</v>
      </c>
      <c r="I13" t="s">
        <v>17</v>
      </c>
      <c r="J13" s="4">
        <f>(J8-J10)*-1</f>
        <v>-0.99999999999999989</v>
      </c>
      <c r="L13" t="s">
        <v>35</v>
      </c>
      <c r="M13" s="2">
        <f>(J6/(J5+J6))*65</f>
        <v>32.5</v>
      </c>
      <c r="O13" t="s">
        <v>33</v>
      </c>
      <c r="P13">
        <v>0.64500000000000002</v>
      </c>
      <c r="R13" t="s">
        <v>31</v>
      </c>
      <c r="S13" s="7">
        <f>IF('Redux v0.4'!D13="STRAßE",CALC!S14,IF('Redux v0.4'!D13="RALLYE",CALC!S15,CALC!S16))</f>
        <v>1</v>
      </c>
      <c r="U13" t="s">
        <v>61</v>
      </c>
      <c r="V13">
        <f>('Redux v0.4'!D7+'Redux v0.4'!D8)</f>
        <v>450</v>
      </c>
      <c r="X13" t="s">
        <v>91</v>
      </c>
    </row>
    <row r="14" spans="1:25" x14ac:dyDescent="0.25">
      <c r="B14" t="s">
        <v>18</v>
      </c>
      <c r="C14" s="2">
        <f>'Redux v0.4'!D8/('Redux v0.4'!D7+'Redux v0.4'!D8)</f>
        <v>0.5</v>
      </c>
      <c r="F14" t="s">
        <v>77</v>
      </c>
      <c r="G14" s="4">
        <f ca="1">(G6*G10*G12)</f>
        <v>26.73</v>
      </c>
      <c r="L14" t="s">
        <v>105</v>
      </c>
      <c r="M14" s="2">
        <f>IF('Redux v0.4'!D13="Straße",CALC!M11,IF('Redux v0.4'!D13="Rallye",CALC!M12,M13))</f>
        <v>65</v>
      </c>
      <c r="O14" t="s">
        <v>35</v>
      </c>
      <c r="P14">
        <v>0.39</v>
      </c>
      <c r="R14" t="s">
        <v>32</v>
      </c>
      <c r="S14" s="7">
        <v>1</v>
      </c>
      <c r="U14" t="s">
        <v>94</v>
      </c>
      <c r="V14" t="b">
        <v>0</v>
      </c>
      <c r="X14" t="s">
        <v>16</v>
      </c>
      <c r="Y14" s="3">
        <f>Y10*0.05</f>
        <v>2.2640625000000001</v>
      </c>
    </row>
    <row r="15" spans="1:25" x14ac:dyDescent="0.25">
      <c r="F15" t="s">
        <v>78</v>
      </c>
      <c r="G15" s="4">
        <f ca="1">(G6*G11*G12)</f>
        <v>26.73</v>
      </c>
      <c r="O15" t="s">
        <v>45</v>
      </c>
      <c r="P15">
        <f ca="1">DATA!N4</f>
        <v>1</v>
      </c>
      <c r="R15" t="s">
        <v>33</v>
      </c>
      <c r="S15" s="7">
        <v>0.74050000000000005</v>
      </c>
      <c r="U15" t="s">
        <v>93</v>
      </c>
      <c r="V15">
        <f>IF(V14=TRUE,40,0)</f>
        <v>0</v>
      </c>
      <c r="X15" s="3" t="s">
        <v>17</v>
      </c>
      <c r="Y15" s="3">
        <f>ROUNDUP(Y11*0.47495,0)</f>
        <v>33</v>
      </c>
    </row>
    <row r="16" spans="1:25" x14ac:dyDescent="0.25">
      <c r="L16" t="s">
        <v>102</v>
      </c>
      <c r="M16" s="3">
        <f>(65*C13)/M8</f>
        <v>7.2222222222222223</v>
      </c>
      <c r="R16" t="s">
        <v>35</v>
      </c>
      <c r="S16" s="7">
        <v>0.41799999999999998</v>
      </c>
      <c r="U16" t="s">
        <v>52</v>
      </c>
      <c r="V16">
        <f>V13/100+100+V15</f>
        <v>104.5</v>
      </c>
    </row>
    <row r="17" spans="6:25" x14ac:dyDescent="0.25">
      <c r="F17" t="s">
        <v>79</v>
      </c>
      <c r="G17" s="2">
        <f ca="1">G14*G5</f>
        <v>1.842969348</v>
      </c>
      <c r="L17" t="s">
        <v>32</v>
      </c>
      <c r="M17" s="2">
        <v>65</v>
      </c>
      <c r="O17" t="s">
        <v>1</v>
      </c>
      <c r="P17" s="7">
        <f ca="1">DATA!J4</f>
        <v>0</v>
      </c>
      <c r="R17" t="s">
        <v>45</v>
      </c>
      <c r="S17">
        <f ca="1">DATA!N4</f>
        <v>1</v>
      </c>
      <c r="T17">
        <v>0.39400000000000002</v>
      </c>
    </row>
    <row r="18" spans="6:25" x14ac:dyDescent="0.25">
      <c r="F18" t="s">
        <v>80</v>
      </c>
      <c r="G18" s="2">
        <f ca="1">G15*G5</f>
        <v>1.842969348</v>
      </c>
      <c r="L18" t="s">
        <v>33</v>
      </c>
      <c r="M18" s="2">
        <f>(J6/(J5+J6))*65*1.483</f>
        <v>48.197500000000005</v>
      </c>
      <c r="X18" t="s">
        <v>1</v>
      </c>
    </row>
    <row r="19" spans="6:25" x14ac:dyDescent="0.25">
      <c r="L19" t="s">
        <v>35</v>
      </c>
      <c r="M19" s="2">
        <f>(J6/(J5+J6))*65*1.43</f>
        <v>46.475000000000001</v>
      </c>
      <c r="O19" t="s">
        <v>29</v>
      </c>
      <c r="P19" s="7">
        <f ca="1">0.002+P17</f>
        <v>2E-3</v>
      </c>
      <c r="R19" t="s">
        <v>22</v>
      </c>
      <c r="S19" s="2">
        <f ca="1">S8*S10*S17*S13</f>
        <v>10.348749999999999</v>
      </c>
      <c r="X19" t="s">
        <v>100</v>
      </c>
      <c r="Y19" s="2">
        <f>Y6/(Y5+Y6)</f>
        <v>0.5</v>
      </c>
    </row>
    <row r="20" spans="6:25" x14ac:dyDescent="0.25">
      <c r="L20" t="s">
        <v>103</v>
      </c>
      <c r="M20">
        <f>IF('Redux v0.4'!D13="Straße",CALC!M17,IF('Redux v0.4'!D13="Rallye",CALC!M18,CALC!M19))</f>
        <v>65</v>
      </c>
      <c r="O20" t="s">
        <v>27</v>
      </c>
      <c r="P20" s="7">
        <f ca="1">0.018+P17</f>
        <v>1.7999999999999999E-2</v>
      </c>
      <c r="R20" t="s">
        <v>23</v>
      </c>
      <c r="S20" s="2">
        <f ca="1">S9*S11*S17*S13</f>
        <v>10.901250000000001</v>
      </c>
      <c r="X20" t="s">
        <v>101</v>
      </c>
      <c r="Y20">
        <f>(C11/2)+1</f>
        <v>1.5</v>
      </c>
    </row>
    <row r="21" spans="6:25" x14ac:dyDescent="0.25">
      <c r="O21" t="s">
        <v>30</v>
      </c>
      <c r="P21" s="7">
        <f ca="1">0.013+P17</f>
        <v>1.2999999999999999E-2</v>
      </c>
      <c r="S21" s="4"/>
      <c r="X21" t="s">
        <v>61</v>
      </c>
      <c r="Y21">
        <f ca="1">1+DATA!G3/5</f>
        <v>1</v>
      </c>
    </row>
    <row r="22" spans="6:25" x14ac:dyDescent="0.25">
      <c r="L22" t="s">
        <v>46</v>
      </c>
      <c r="M22" s="4">
        <v>65</v>
      </c>
      <c r="O22" t="s">
        <v>28</v>
      </c>
      <c r="P22" s="7">
        <f ca="1">IF('Redux v0.4'!D11="RWD",CALC!P19,IF('Redux v0.4'!D11="AWD",CALC!P20,CALC!P21))</f>
        <v>1.2999999999999999E-2</v>
      </c>
      <c r="R22" t="s">
        <v>48</v>
      </c>
      <c r="S22">
        <f>IF('Redux v0.4'!D13="RALLYE",0.385,IF('Redux v0.4'!D13="OFFROAD",0.37,0.429))</f>
        <v>0.42899999999999999</v>
      </c>
      <c r="X22" t="s">
        <v>99</v>
      </c>
      <c r="Y22" s="2">
        <f ca="1">ROUNDUP(Y19*Y20*Y21*100,0)</f>
        <v>75</v>
      </c>
    </row>
    <row r="23" spans="6:25" x14ac:dyDescent="0.25">
      <c r="L23" t="s">
        <v>47</v>
      </c>
      <c r="M23" s="4">
        <f>(65*C14)/M8</f>
        <v>7.2222222222222223</v>
      </c>
      <c r="R23" t="s">
        <v>24</v>
      </c>
      <c r="S23" s="7">
        <f ca="1">S19*S22</f>
        <v>4.4396137499999995</v>
      </c>
    </row>
    <row r="24" spans="6:25" x14ac:dyDescent="0.25">
      <c r="O24" t="s">
        <v>16</v>
      </c>
      <c r="P24" s="4">
        <f ca="1">P6*P8</f>
        <v>112.26323999999998</v>
      </c>
      <c r="R24" t="s">
        <v>25</v>
      </c>
      <c r="S24" s="7">
        <f ca="1">S20*S22</f>
        <v>4.6766362500000005</v>
      </c>
    </row>
    <row r="25" spans="6:25" x14ac:dyDescent="0.25">
      <c r="O25" t="s">
        <v>17</v>
      </c>
      <c r="P25" s="4">
        <f ca="1">P7*P9</f>
        <v>118.25676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FD8F-0617-46AE-9110-8BC82EFA75A4}">
  <sheetPr codeName="Tabelle3"/>
  <dimension ref="B2:S103"/>
  <sheetViews>
    <sheetView topLeftCell="D1" workbookViewId="0">
      <selection activeCell="J4" sqref="J4"/>
    </sheetView>
  </sheetViews>
  <sheetFormatPr baseColWidth="10" defaultRowHeight="15" x14ac:dyDescent="0.25"/>
  <cols>
    <col min="2" max="3" width="15.7109375" customWidth="1"/>
    <col min="4" max="4" width="15.7109375" style="7" customWidth="1"/>
    <col min="5" max="5" width="15.7109375" style="6" customWidth="1"/>
    <col min="6" max="12" width="15.7109375" customWidth="1"/>
    <col min="13" max="13" width="13.42578125" bestFit="1" customWidth="1"/>
  </cols>
  <sheetData>
    <row r="2" spans="2:19" x14ac:dyDescent="0.25">
      <c r="B2" s="6" t="s">
        <v>28</v>
      </c>
      <c r="C2" s="6" t="s">
        <v>34</v>
      </c>
      <c r="E2" s="6" t="s">
        <v>62</v>
      </c>
      <c r="F2" t="s">
        <v>61</v>
      </c>
      <c r="I2" s="8" t="s">
        <v>1</v>
      </c>
      <c r="J2" s="6" t="s">
        <v>36</v>
      </c>
      <c r="K2" s="6" t="s">
        <v>43</v>
      </c>
      <c r="M2" s="8" t="s">
        <v>31</v>
      </c>
      <c r="N2" s="6" t="s">
        <v>45</v>
      </c>
      <c r="O2" s="6" t="s">
        <v>44</v>
      </c>
      <c r="Q2" t="s">
        <v>58</v>
      </c>
      <c r="R2" t="s">
        <v>59</v>
      </c>
      <c r="S2" t="s">
        <v>60</v>
      </c>
    </row>
    <row r="3" spans="2:19" x14ac:dyDescent="0.25">
      <c r="B3" t="s">
        <v>29</v>
      </c>
      <c r="C3" t="s">
        <v>95</v>
      </c>
      <c r="F3" s="6">
        <v>1</v>
      </c>
      <c r="G3" s="6">
        <f ca="1">OFFSET(G4,F3,0)</f>
        <v>0</v>
      </c>
      <c r="I3" s="7">
        <v>0.05</v>
      </c>
      <c r="J3">
        <v>50</v>
      </c>
      <c r="K3">
        <v>50</v>
      </c>
      <c r="M3" s="7">
        <v>0.5</v>
      </c>
      <c r="N3">
        <v>50</v>
      </c>
      <c r="O3">
        <v>-50</v>
      </c>
      <c r="Q3">
        <v>10</v>
      </c>
      <c r="R3">
        <v>10</v>
      </c>
      <c r="S3">
        <v>10</v>
      </c>
    </row>
    <row r="4" spans="2:19" x14ac:dyDescent="0.25">
      <c r="B4" t="s">
        <v>27</v>
      </c>
      <c r="C4" t="s">
        <v>96</v>
      </c>
      <c r="F4" s="6">
        <f ca="1">OFFSET(E4,F3,0)</f>
        <v>24</v>
      </c>
      <c r="I4" s="7">
        <v>4.9000000000000002E-2</v>
      </c>
      <c r="J4" s="7">
        <f ca="1">OFFSET(I3,J3,0)</f>
        <v>0</v>
      </c>
      <c r="K4">
        <v>49</v>
      </c>
      <c r="M4" s="7">
        <v>0.51</v>
      </c>
      <c r="N4" s="7">
        <f ca="1">OFFSET(M3,N3,0)</f>
        <v>1</v>
      </c>
      <c r="O4">
        <v>-49</v>
      </c>
      <c r="Q4">
        <v>9</v>
      </c>
      <c r="R4">
        <f ca="1">OFFSET(Q3,R3,0)</f>
        <v>0</v>
      </c>
      <c r="S4">
        <v>9</v>
      </c>
    </row>
    <row r="5" spans="2:19" x14ac:dyDescent="0.25">
      <c r="B5" t="s">
        <v>30</v>
      </c>
      <c r="C5" t="s">
        <v>97</v>
      </c>
      <c r="E5" s="6">
        <v>24</v>
      </c>
      <c r="F5" t="s">
        <v>63</v>
      </c>
      <c r="G5" s="37">
        <v>0</v>
      </c>
      <c r="I5" s="7">
        <v>4.8000000000000001E-2</v>
      </c>
      <c r="J5">
        <f ca="1">OFFSET(K3,J3,0)</f>
        <v>0</v>
      </c>
      <c r="K5">
        <v>48</v>
      </c>
      <c r="M5" s="7">
        <v>0.52</v>
      </c>
      <c r="N5">
        <f ca="1">OFFSET(O3,N3,0)</f>
        <v>0</v>
      </c>
      <c r="O5">
        <v>-48</v>
      </c>
      <c r="Q5">
        <v>8</v>
      </c>
      <c r="R5">
        <f ca="1">OFFSET(S3,R3,0)</f>
        <v>0</v>
      </c>
      <c r="S5">
        <v>8</v>
      </c>
    </row>
    <row r="6" spans="2:19" x14ac:dyDescent="0.25">
      <c r="E6" s="6">
        <v>24</v>
      </c>
      <c r="F6" t="s">
        <v>32</v>
      </c>
      <c r="G6" s="37">
        <v>0.06</v>
      </c>
      <c r="I6" s="7">
        <v>4.7E-2</v>
      </c>
      <c r="K6">
        <v>47</v>
      </c>
      <c r="M6" s="7">
        <v>0.53</v>
      </c>
      <c r="O6">
        <v>-47</v>
      </c>
      <c r="Q6">
        <v>7</v>
      </c>
      <c r="S6">
        <v>7</v>
      </c>
    </row>
    <row r="7" spans="2:19" x14ac:dyDescent="0.25">
      <c r="E7" s="6">
        <v>31.5</v>
      </c>
      <c r="F7" t="s">
        <v>64</v>
      </c>
      <c r="G7" s="37">
        <v>0.13</v>
      </c>
      <c r="I7" s="7">
        <v>4.5999999999999999E-2</v>
      </c>
      <c r="K7">
        <v>46</v>
      </c>
      <c r="M7" s="7">
        <v>0.54</v>
      </c>
      <c r="O7">
        <v>-46</v>
      </c>
      <c r="Q7">
        <v>6</v>
      </c>
      <c r="S7">
        <v>6</v>
      </c>
    </row>
    <row r="8" spans="2:19" x14ac:dyDescent="0.25">
      <c r="E8" s="6">
        <v>27</v>
      </c>
      <c r="F8" t="s">
        <v>65</v>
      </c>
      <c r="G8" s="37">
        <v>0.25</v>
      </c>
      <c r="I8" s="7">
        <v>4.4999999999999998E-2</v>
      </c>
      <c r="K8">
        <v>45</v>
      </c>
      <c r="M8" s="7">
        <v>0.55000000000000004</v>
      </c>
      <c r="O8">
        <v>-45</v>
      </c>
      <c r="Q8">
        <v>5</v>
      </c>
      <c r="S8">
        <v>5</v>
      </c>
    </row>
    <row r="9" spans="2:19" x14ac:dyDescent="0.25">
      <c r="E9" s="6">
        <v>28</v>
      </c>
      <c r="F9" t="s">
        <v>66</v>
      </c>
      <c r="G9" s="37">
        <v>0.28999999999999998</v>
      </c>
      <c r="I9" s="7">
        <v>4.3999999999999997E-2</v>
      </c>
      <c r="K9">
        <v>44</v>
      </c>
      <c r="M9" s="7">
        <v>0.56000000000000005</v>
      </c>
      <c r="O9">
        <v>-44</v>
      </c>
      <c r="Q9">
        <v>4</v>
      </c>
      <c r="S9">
        <v>4</v>
      </c>
    </row>
    <row r="10" spans="2:19" x14ac:dyDescent="0.25">
      <c r="E10" s="6">
        <v>22.5</v>
      </c>
      <c r="F10" t="s">
        <v>67</v>
      </c>
      <c r="G10" s="37">
        <v>0.15</v>
      </c>
      <c r="I10" s="7">
        <v>4.2999999999999997E-2</v>
      </c>
      <c r="K10">
        <v>43</v>
      </c>
      <c r="M10" s="7">
        <v>0.56999999999999995</v>
      </c>
      <c r="O10">
        <v>-43</v>
      </c>
      <c r="Q10">
        <v>3</v>
      </c>
      <c r="S10">
        <v>3</v>
      </c>
    </row>
    <row r="11" spans="2:19" x14ac:dyDescent="0.25">
      <c r="E11" s="6">
        <v>23.5</v>
      </c>
      <c r="F11" t="s">
        <v>33</v>
      </c>
      <c r="G11" s="37">
        <v>0.15</v>
      </c>
      <c r="I11" s="7">
        <v>4.2000000000000003E-2</v>
      </c>
      <c r="K11">
        <v>42</v>
      </c>
      <c r="M11" s="7">
        <v>0.57999999999999996</v>
      </c>
      <c r="O11">
        <v>-42</v>
      </c>
      <c r="Q11">
        <v>2</v>
      </c>
      <c r="S11">
        <v>2</v>
      </c>
    </row>
    <row r="12" spans="2:19" x14ac:dyDescent="0.25">
      <c r="E12" s="6">
        <v>15.5</v>
      </c>
      <c r="F12" t="s">
        <v>35</v>
      </c>
      <c r="G12" s="37">
        <v>0.09</v>
      </c>
      <c r="I12" s="7">
        <v>4.1000000000000002E-2</v>
      </c>
      <c r="K12">
        <v>41</v>
      </c>
      <c r="M12" s="7">
        <v>0.59</v>
      </c>
      <c r="O12">
        <v>-41</v>
      </c>
      <c r="Q12">
        <v>1</v>
      </c>
      <c r="S12">
        <v>1</v>
      </c>
    </row>
    <row r="13" spans="2:19" x14ac:dyDescent="0.25">
      <c r="E13" s="6">
        <v>15</v>
      </c>
      <c r="F13" t="s">
        <v>68</v>
      </c>
      <c r="G13" s="37">
        <v>-0.04</v>
      </c>
      <c r="I13" s="7">
        <v>0.04</v>
      </c>
      <c r="K13">
        <v>40</v>
      </c>
      <c r="M13" s="7">
        <v>0.6</v>
      </c>
      <c r="O13">
        <v>-40</v>
      </c>
      <c r="Q13">
        <v>0</v>
      </c>
      <c r="S13">
        <v>0</v>
      </c>
    </row>
    <row r="14" spans="2:19" x14ac:dyDescent="0.25">
      <c r="E14" s="6">
        <v>29.5</v>
      </c>
      <c r="F14" t="s">
        <v>69</v>
      </c>
      <c r="G14" s="37">
        <v>-7.0000000000000007E-2</v>
      </c>
      <c r="I14" s="7">
        <v>3.9E-2</v>
      </c>
      <c r="K14">
        <v>39</v>
      </c>
      <c r="M14" s="7">
        <v>0.61</v>
      </c>
      <c r="O14">
        <v>-39</v>
      </c>
      <c r="Q14">
        <v>-1</v>
      </c>
      <c r="S14">
        <v>1</v>
      </c>
    </row>
    <row r="15" spans="2:19" x14ac:dyDescent="0.25">
      <c r="E15" s="6">
        <v>29.5</v>
      </c>
      <c r="F15" t="s">
        <v>70</v>
      </c>
      <c r="G15" s="37">
        <v>0.03</v>
      </c>
      <c r="I15" s="7">
        <v>3.7999999999999999E-2</v>
      </c>
      <c r="K15">
        <v>38</v>
      </c>
      <c r="M15" s="7">
        <v>0.62</v>
      </c>
      <c r="O15">
        <v>-38</v>
      </c>
      <c r="Q15">
        <v>-2</v>
      </c>
      <c r="S15">
        <v>2</v>
      </c>
    </row>
    <row r="16" spans="2:19" x14ac:dyDescent="0.25">
      <c r="E16" s="6">
        <v>31.5</v>
      </c>
      <c r="F16" t="s">
        <v>71</v>
      </c>
      <c r="G16" s="37">
        <v>0.1</v>
      </c>
      <c r="I16" s="7">
        <v>3.6999999999999998E-2</v>
      </c>
      <c r="K16">
        <v>37</v>
      </c>
      <c r="M16" s="7">
        <v>0.63</v>
      </c>
      <c r="O16">
        <v>-37</v>
      </c>
      <c r="Q16">
        <v>-3</v>
      </c>
      <c r="S16">
        <v>3</v>
      </c>
    </row>
    <row r="17" spans="9:19" x14ac:dyDescent="0.25">
      <c r="I17" s="7">
        <v>3.5999999999999997E-2</v>
      </c>
      <c r="K17">
        <v>36</v>
      </c>
      <c r="M17" s="7">
        <v>0.64</v>
      </c>
      <c r="O17">
        <v>-36</v>
      </c>
      <c r="Q17">
        <v>-4</v>
      </c>
      <c r="S17">
        <v>4</v>
      </c>
    </row>
    <row r="18" spans="9:19" x14ac:dyDescent="0.25">
      <c r="I18" s="7">
        <v>3.5000000000000003E-2</v>
      </c>
      <c r="K18">
        <v>35</v>
      </c>
      <c r="M18" s="7">
        <v>0.65</v>
      </c>
      <c r="O18">
        <v>-35</v>
      </c>
      <c r="Q18">
        <v>-5</v>
      </c>
      <c r="S18">
        <v>5</v>
      </c>
    </row>
    <row r="19" spans="9:19" x14ac:dyDescent="0.25">
      <c r="I19" s="7">
        <v>3.4000000000000002E-2</v>
      </c>
      <c r="K19">
        <v>34</v>
      </c>
      <c r="M19" s="7">
        <v>0.66</v>
      </c>
      <c r="O19">
        <v>-34</v>
      </c>
      <c r="Q19">
        <v>-6</v>
      </c>
      <c r="S19">
        <v>6</v>
      </c>
    </row>
    <row r="20" spans="9:19" x14ac:dyDescent="0.25">
      <c r="I20" s="7">
        <v>3.3000000000000002E-2</v>
      </c>
      <c r="K20">
        <v>33</v>
      </c>
      <c r="M20" s="7">
        <v>0.67</v>
      </c>
      <c r="O20">
        <v>-33</v>
      </c>
      <c r="Q20">
        <v>-7</v>
      </c>
      <c r="S20">
        <v>7</v>
      </c>
    </row>
    <row r="21" spans="9:19" x14ac:dyDescent="0.25">
      <c r="I21" s="7">
        <v>3.2000000000000001E-2</v>
      </c>
      <c r="K21">
        <v>32</v>
      </c>
      <c r="M21" s="7">
        <v>0.68</v>
      </c>
      <c r="O21">
        <v>-32</v>
      </c>
      <c r="Q21">
        <v>-8</v>
      </c>
      <c r="S21">
        <v>8</v>
      </c>
    </row>
    <row r="22" spans="9:19" x14ac:dyDescent="0.25">
      <c r="I22" s="7">
        <v>3.1E-2</v>
      </c>
      <c r="K22">
        <v>31</v>
      </c>
      <c r="M22" s="7">
        <v>0.69</v>
      </c>
      <c r="O22">
        <v>-31</v>
      </c>
      <c r="Q22">
        <v>-9</v>
      </c>
      <c r="S22">
        <v>9</v>
      </c>
    </row>
    <row r="23" spans="9:19" x14ac:dyDescent="0.25">
      <c r="I23" s="7">
        <v>0.03</v>
      </c>
      <c r="K23">
        <v>30</v>
      </c>
      <c r="M23" s="7">
        <v>0.7</v>
      </c>
      <c r="O23">
        <v>-30</v>
      </c>
      <c r="Q23">
        <v>-10</v>
      </c>
      <c r="S23">
        <v>10</v>
      </c>
    </row>
    <row r="24" spans="9:19" x14ac:dyDescent="0.25">
      <c r="I24" s="7">
        <v>2.9000000000000001E-2</v>
      </c>
      <c r="K24">
        <v>29</v>
      </c>
      <c r="M24" s="7">
        <v>0.71</v>
      </c>
      <c r="O24">
        <v>-29</v>
      </c>
    </row>
    <row r="25" spans="9:19" x14ac:dyDescent="0.25">
      <c r="I25" s="7">
        <v>2.8000000000000001E-2</v>
      </c>
      <c r="K25">
        <v>28</v>
      </c>
      <c r="M25" s="7">
        <v>0.72</v>
      </c>
      <c r="O25">
        <v>-28</v>
      </c>
    </row>
    <row r="26" spans="9:19" x14ac:dyDescent="0.25">
      <c r="I26" s="7">
        <v>2.7E-2</v>
      </c>
      <c r="K26">
        <v>27</v>
      </c>
      <c r="M26" s="7">
        <v>0.73</v>
      </c>
      <c r="O26">
        <v>-27</v>
      </c>
    </row>
    <row r="27" spans="9:19" x14ac:dyDescent="0.25">
      <c r="I27" s="7">
        <v>2.5999999999999999E-2</v>
      </c>
      <c r="K27">
        <v>26</v>
      </c>
      <c r="M27" s="7">
        <v>0.74</v>
      </c>
      <c r="O27">
        <v>-26</v>
      </c>
    </row>
    <row r="28" spans="9:19" x14ac:dyDescent="0.25">
      <c r="I28" s="7">
        <v>2.5000000000000001E-2</v>
      </c>
      <c r="K28">
        <v>25</v>
      </c>
      <c r="M28" s="7">
        <v>0.75</v>
      </c>
      <c r="O28">
        <v>-25</v>
      </c>
    </row>
    <row r="29" spans="9:19" x14ac:dyDescent="0.25">
      <c r="I29" s="7">
        <v>2.4E-2</v>
      </c>
      <c r="K29">
        <v>24</v>
      </c>
      <c r="M29" s="7">
        <v>0.76</v>
      </c>
      <c r="O29">
        <v>-24</v>
      </c>
    </row>
    <row r="30" spans="9:19" x14ac:dyDescent="0.25">
      <c r="I30" s="7">
        <v>2.3E-2</v>
      </c>
      <c r="K30">
        <v>23</v>
      </c>
      <c r="M30" s="7">
        <v>0.77</v>
      </c>
      <c r="O30">
        <v>-23</v>
      </c>
    </row>
    <row r="31" spans="9:19" x14ac:dyDescent="0.25">
      <c r="I31" s="7">
        <v>2.1999999999999999E-2</v>
      </c>
      <c r="K31">
        <v>22</v>
      </c>
      <c r="M31" s="7">
        <v>0.78</v>
      </c>
      <c r="O31">
        <v>-22</v>
      </c>
    </row>
    <row r="32" spans="9:19" x14ac:dyDescent="0.25">
      <c r="I32" s="7">
        <v>2.1000000000000001E-2</v>
      </c>
      <c r="K32">
        <v>21</v>
      </c>
      <c r="M32" s="7">
        <v>0.79</v>
      </c>
      <c r="O32">
        <v>-21</v>
      </c>
    </row>
    <row r="33" spans="9:15" x14ac:dyDescent="0.25">
      <c r="I33" s="7">
        <v>0.02</v>
      </c>
      <c r="K33">
        <v>20</v>
      </c>
      <c r="M33" s="7">
        <v>0.8</v>
      </c>
      <c r="O33">
        <v>-20</v>
      </c>
    </row>
    <row r="34" spans="9:15" x14ac:dyDescent="0.25">
      <c r="I34" s="7">
        <v>1.9E-2</v>
      </c>
      <c r="K34">
        <v>19</v>
      </c>
      <c r="M34" s="7">
        <v>0.81</v>
      </c>
      <c r="O34">
        <v>-19</v>
      </c>
    </row>
    <row r="35" spans="9:15" x14ac:dyDescent="0.25">
      <c r="I35" s="7">
        <v>1.7999999999999999E-2</v>
      </c>
      <c r="K35">
        <v>18</v>
      </c>
      <c r="M35" s="7">
        <v>0.82</v>
      </c>
      <c r="O35">
        <v>-18</v>
      </c>
    </row>
    <row r="36" spans="9:15" x14ac:dyDescent="0.25">
      <c r="I36" s="7">
        <v>1.7000000000000001E-2</v>
      </c>
      <c r="K36">
        <v>17</v>
      </c>
      <c r="M36" s="7">
        <v>0.83</v>
      </c>
      <c r="O36">
        <v>-17</v>
      </c>
    </row>
    <row r="37" spans="9:15" x14ac:dyDescent="0.25">
      <c r="I37" s="7">
        <v>1.6E-2</v>
      </c>
      <c r="K37">
        <v>16</v>
      </c>
      <c r="M37" s="7">
        <v>0.84</v>
      </c>
      <c r="O37">
        <v>-16</v>
      </c>
    </row>
    <row r="38" spans="9:15" x14ac:dyDescent="0.25">
      <c r="I38" s="7">
        <v>1.4999999999999999E-2</v>
      </c>
      <c r="K38">
        <v>15</v>
      </c>
      <c r="M38" s="7">
        <v>0.85</v>
      </c>
      <c r="O38">
        <v>-15</v>
      </c>
    </row>
    <row r="39" spans="9:15" x14ac:dyDescent="0.25">
      <c r="I39" s="7">
        <v>1.4E-2</v>
      </c>
      <c r="K39">
        <v>14</v>
      </c>
      <c r="M39" s="7">
        <v>0.86</v>
      </c>
      <c r="O39">
        <v>-14</v>
      </c>
    </row>
    <row r="40" spans="9:15" x14ac:dyDescent="0.25">
      <c r="I40" s="7">
        <v>1.2999999999999999E-2</v>
      </c>
      <c r="K40">
        <v>13</v>
      </c>
      <c r="M40" s="7">
        <v>0.87</v>
      </c>
      <c r="O40">
        <v>-13</v>
      </c>
    </row>
    <row r="41" spans="9:15" x14ac:dyDescent="0.25">
      <c r="I41" s="7">
        <v>1.2E-2</v>
      </c>
      <c r="K41">
        <v>12</v>
      </c>
      <c r="M41" s="7">
        <v>0.88</v>
      </c>
      <c r="O41">
        <v>-12</v>
      </c>
    </row>
    <row r="42" spans="9:15" x14ac:dyDescent="0.25">
      <c r="I42" s="7">
        <v>1.0999999999999999E-2</v>
      </c>
      <c r="K42">
        <v>11</v>
      </c>
      <c r="M42" s="7">
        <v>0.89</v>
      </c>
      <c r="O42">
        <v>-11</v>
      </c>
    </row>
    <row r="43" spans="9:15" x14ac:dyDescent="0.25">
      <c r="I43" s="7">
        <v>0.01</v>
      </c>
      <c r="K43">
        <v>10</v>
      </c>
      <c r="M43" s="7">
        <v>0.9</v>
      </c>
      <c r="O43">
        <v>-10</v>
      </c>
    </row>
    <row r="44" spans="9:15" x14ac:dyDescent="0.25">
      <c r="I44" s="7">
        <v>8.9999999999999993E-3</v>
      </c>
      <c r="K44">
        <v>9</v>
      </c>
      <c r="M44" s="7">
        <v>0.91</v>
      </c>
      <c r="O44">
        <v>-9</v>
      </c>
    </row>
    <row r="45" spans="9:15" x14ac:dyDescent="0.25">
      <c r="I45" s="7">
        <v>8.0000000000000002E-3</v>
      </c>
      <c r="K45">
        <v>8</v>
      </c>
      <c r="M45" s="7">
        <v>0.92</v>
      </c>
      <c r="O45">
        <v>-8</v>
      </c>
    </row>
    <row r="46" spans="9:15" x14ac:dyDescent="0.25">
      <c r="I46" s="7">
        <v>7.0000000000000097E-3</v>
      </c>
      <c r="K46">
        <v>7</v>
      </c>
      <c r="M46" s="7">
        <v>0.93</v>
      </c>
      <c r="O46">
        <v>-7</v>
      </c>
    </row>
    <row r="47" spans="9:15" x14ac:dyDescent="0.25">
      <c r="I47" s="7">
        <v>6.0000000000000097E-3</v>
      </c>
      <c r="K47">
        <v>6</v>
      </c>
      <c r="M47" s="7">
        <v>0.94</v>
      </c>
      <c r="O47">
        <v>-6</v>
      </c>
    </row>
    <row r="48" spans="9:15" x14ac:dyDescent="0.25">
      <c r="I48" s="7">
        <v>5.0000000000000001E-3</v>
      </c>
      <c r="K48">
        <v>5</v>
      </c>
      <c r="M48" s="7">
        <v>0.95</v>
      </c>
      <c r="O48">
        <v>-5</v>
      </c>
    </row>
    <row r="49" spans="9:15" x14ac:dyDescent="0.25">
      <c r="I49" s="7">
        <v>4.0000000000000001E-3</v>
      </c>
      <c r="K49">
        <v>4</v>
      </c>
      <c r="M49" s="7">
        <v>0.96</v>
      </c>
      <c r="O49">
        <v>-4</v>
      </c>
    </row>
    <row r="50" spans="9:15" x14ac:dyDescent="0.25">
      <c r="I50" s="7">
        <v>3.0000000000000001E-3</v>
      </c>
      <c r="K50">
        <v>3</v>
      </c>
      <c r="M50" s="7">
        <v>0.97</v>
      </c>
      <c r="O50">
        <v>-3</v>
      </c>
    </row>
    <row r="51" spans="9:15" x14ac:dyDescent="0.25">
      <c r="I51" s="7">
        <v>2E-3</v>
      </c>
      <c r="K51">
        <v>2</v>
      </c>
      <c r="M51" s="7">
        <v>0.98</v>
      </c>
      <c r="O51">
        <v>-2</v>
      </c>
    </row>
    <row r="52" spans="9:15" x14ac:dyDescent="0.25">
      <c r="I52" s="7">
        <v>1E-3</v>
      </c>
      <c r="K52">
        <v>1</v>
      </c>
      <c r="M52" s="7">
        <v>0.99</v>
      </c>
      <c r="O52">
        <v>-1</v>
      </c>
    </row>
    <row r="53" spans="9:15" x14ac:dyDescent="0.25">
      <c r="I53" s="7">
        <v>0</v>
      </c>
      <c r="K53">
        <v>0</v>
      </c>
      <c r="M53" s="7">
        <v>1</v>
      </c>
      <c r="O53">
        <v>0</v>
      </c>
    </row>
    <row r="54" spans="9:15" x14ac:dyDescent="0.25">
      <c r="I54" s="7">
        <v>-9.9999999999999395E-4</v>
      </c>
      <c r="K54">
        <v>1</v>
      </c>
      <c r="M54" s="7">
        <v>1.01</v>
      </c>
      <c r="O54">
        <v>1</v>
      </c>
    </row>
    <row r="55" spans="9:15" x14ac:dyDescent="0.25">
      <c r="I55" s="7">
        <v>-1.9999999999999901E-3</v>
      </c>
      <c r="K55">
        <v>2</v>
      </c>
      <c r="M55" s="7">
        <v>1.02</v>
      </c>
      <c r="O55">
        <v>2</v>
      </c>
    </row>
    <row r="56" spans="9:15" x14ac:dyDescent="0.25">
      <c r="I56" s="7">
        <v>-3.0000000000000001E-3</v>
      </c>
      <c r="K56">
        <v>3</v>
      </c>
      <c r="M56" s="7">
        <v>1.03</v>
      </c>
      <c r="O56">
        <v>3</v>
      </c>
    </row>
    <row r="57" spans="9:15" x14ac:dyDescent="0.25">
      <c r="I57" s="7">
        <v>-4.0000000000000001E-3</v>
      </c>
      <c r="K57">
        <v>4</v>
      </c>
      <c r="M57" s="7">
        <v>1.04</v>
      </c>
      <c r="O57">
        <v>4</v>
      </c>
    </row>
    <row r="58" spans="9:15" x14ac:dyDescent="0.25">
      <c r="I58" s="7">
        <v>-5.0000000000000001E-3</v>
      </c>
      <c r="K58">
        <v>5</v>
      </c>
      <c r="M58" s="7">
        <v>1.05</v>
      </c>
      <c r="O58">
        <v>5</v>
      </c>
    </row>
    <row r="59" spans="9:15" x14ac:dyDescent="0.25">
      <c r="I59" s="7">
        <v>-6.0000000000000001E-3</v>
      </c>
      <c r="K59">
        <v>6</v>
      </c>
      <c r="M59" s="7">
        <v>1.06</v>
      </c>
      <c r="O59">
        <v>6</v>
      </c>
    </row>
    <row r="60" spans="9:15" x14ac:dyDescent="0.25">
      <c r="I60" s="7">
        <v>-7.0000000000000999E-3</v>
      </c>
      <c r="K60">
        <v>7</v>
      </c>
      <c r="M60" s="7">
        <v>1.07</v>
      </c>
      <c r="O60">
        <v>7</v>
      </c>
    </row>
    <row r="61" spans="9:15" x14ac:dyDescent="0.25">
      <c r="I61" s="7">
        <v>-8.0000000000001008E-3</v>
      </c>
      <c r="K61">
        <v>8</v>
      </c>
      <c r="M61" s="7">
        <v>1.08</v>
      </c>
      <c r="O61">
        <v>8</v>
      </c>
    </row>
    <row r="62" spans="9:15" x14ac:dyDescent="0.25">
      <c r="I62" s="7">
        <v>-9.0000000000000999E-3</v>
      </c>
      <c r="K62">
        <v>9</v>
      </c>
      <c r="M62" s="7">
        <v>1.0900000000000001</v>
      </c>
      <c r="O62">
        <v>9</v>
      </c>
    </row>
    <row r="63" spans="9:15" x14ac:dyDescent="0.25">
      <c r="I63" s="7">
        <v>-1.0000000000000101E-2</v>
      </c>
      <c r="K63">
        <v>10</v>
      </c>
      <c r="M63" s="7">
        <v>1.1000000000000001</v>
      </c>
      <c r="O63">
        <v>10</v>
      </c>
    </row>
    <row r="64" spans="9:15" x14ac:dyDescent="0.25">
      <c r="I64" s="7">
        <v>-1.10000000000001E-2</v>
      </c>
      <c r="K64">
        <v>11</v>
      </c>
      <c r="M64" s="7">
        <v>1.1100000000000001</v>
      </c>
      <c r="O64">
        <v>11</v>
      </c>
    </row>
    <row r="65" spans="9:15" x14ac:dyDescent="0.25">
      <c r="I65" s="7">
        <v>-1.2000000000000101E-2</v>
      </c>
      <c r="K65">
        <v>12</v>
      </c>
      <c r="M65" s="7">
        <v>1.1200000000000001</v>
      </c>
      <c r="O65">
        <v>12</v>
      </c>
    </row>
    <row r="66" spans="9:15" x14ac:dyDescent="0.25">
      <c r="I66" s="7">
        <v>-1.30000000000001E-2</v>
      </c>
      <c r="K66">
        <v>13</v>
      </c>
      <c r="M66" s="7">
        <v>1.1299999999999999</v>
      </c>
      <c r="O66">
        <v>13</v>
      </c>
    </row>
    <row r="67" spans="9:15" x14ac:dyDescent="0.25">
      <c r="I67" s="7">
        <v>-1.4000000000000099E-2</v>
      </c>
      <c r="K67">
        <v>14</v>
      </c>
      <c r="M67" s="7">
        <v>1.1399999999999999</v>
      </c>
      <c r="O67">
        <v>14</v>
      </c>
    </row>
    <row r="68" spans="9:15" x14ac:dyDescent="0.25">
      <c r="I68" s="7">
        <v>-1.50000000000001E-2</v>
      </c>
      <c r="K68">
        <v>15</v>
      </c>
      <c r="M68" s="7">
        <v>1.1499999999999999</v>
      </c>
      <c r="O68">
        <v>15</v>
      </c>
    </row>
    <row r="69" spans="9:15" x14ac:dyDescent="0.25">
      <c r="I69" s="7">
        <v>-1.6000000000000101E-2</v>
      </c>
      <c r="K69">
        <v>16</v>
      </c>
      <c r="M69" s="7">
        <v>1.1599999999999999</v>
      </c>
      <c r="O69">
        <v>16</v>
      </c>
    </row>
    <row r="70" spans="9:15" x14ac:dyDescent="0.25">
      <c r="I70" s="7">
        <v>-1.7000000000000098E-2</v>
      </c>
      <c r="K70">
        <v>17</v>
      </c>
      <c r="M70" s="7">
        <v>1.17</v>
      </c>
      <c r="O70">
        <v>17</v>
      </c>
    </row>
    <row r="71" spans="9:15" x14ac:dyDescent="0.25">
      <c r="I71" s="7">
        <v>-1.8000000000000099E-2</v>
      </c>
      <c r="K71">
        <v>18</v>
      </c>
      <c r="M71" s="7">
        <v>1.18</v>
      </c>
      <c r="O71">
        <v>18</v>
      </c>
    </row>
    <row r="72" spans="9:15" x14ac:dyDescent="0.25">
      <c r="I72" s="7">
        <v>-1.90000000000001E-2</v>
      </c>
      <c r="K72">
        <v>19</v>
      </c>
      <c r="M72" s="7">
        <v>1.19</v>
      </c>
      <c r="O72">
        <v>19</v>
      </c>
    </row>
    <row r="73" spans="9:15" x14ac:dyDescent="0.25">
      <c r="I73" s="7">
        <v>-2.0000000000000101E-2</v>
      </c>
      <c r="K73">
        <v>20</v>
      </c>
      <c r="M73" s="7">
        <v>1.2</v>
      </c>
      <c r="O73">
        <v>20</v>
      </c>
    </row>
    <row r="74" spans="9:15" x14ac:dyDescent="0.25">
      <c r="I74" s="7">
        <v>-2.1000000000000098E-2</v>
      </c>
      <c r="K74">
        <v>21</v>
      </c>
      <c r="M74" s="7">
        <v>1.21</v>
      </c>
      <c r="O74">
        <v>21</v>
      </c>
    </row>
    <row r="75" spans="9:15" x14ac:dyDescent="0.25">
      <c r="I75" s="7">
        <v>-2.2000000000000099E-2</v>
      </c>
      <c r="K75">
        <v>22</v>
      </c>
      <c r="M75" s="7">
        <v>1.22</v>
      </c>
      <c r="O75">
        <v>22</v>
      </c>
    </row>
    <row r="76" spans="9:15" x14ac:dyDescent="0.25">
      <c r="I76" s="7">
        <v>-2.30000000000001E-2</v>
      </c>
      <c r="K76">
        <v>23</v>
      </c>
      <c r="M76" s="7">
        <v>1.23</v>
      </c>
      <c r="O76">
        <v>23</v>
      </c>
    </row>
    <row r="77" spans="9:15" x14ac:dyDescent="0.25">
      <c r="I77" s="7">
        <v>-2.4000000000000101E-2</v>
      </c>
      <c r="K77">
        <v>24</v>
      </c>
      <c r="M77" s="7">
        <v>1.24</v>
      </c>
      <c r="O77">
        <v>24</v>
      </c>
    </row>
    <row r="78" spans="9:15" x14ac:dyDescent="0.25">
      <c r="I78" s="7">
        <v>-2.5000000000000099E-2</v>
      </c>
      <c r="K78">
        <v>25</v>
      </c>
      <c r="M78" s="7">
        <v>1.25</v>
      </c>
      <c r="O78">
        <v>25</v>
      </c>
    </row>
    <row r="79" spans="9:15" x14ac:dyDescent="0.25">
      <c r="I79" s="7">
        <v>-2.6000000000000099E-2</v>
      </c>
      <c r="K79">
        <v>26</v>
      </c>
      <c r="M79" s="7">
        <v>1.26</v>
      </c>
      <c r="O79">
        <v>26</v>
      </c>
    </row>
    <row r="80" spans="9:15" x14ac:dyDescent="0.25">
      <c r="I80" s="7">
        <v>-2.70000000000001E-2</v>
      </c>
      <c r="K80">
        <v>27</v>
      </c>
      <c r="M80" s="7">
        <v>1.27</v>
      </c>
      <c r="O80">
        <v>27</v>
      </c>
    </row>
    <row r="81" spans="9:15" x14ac:dyDescent="0.25">
      <c r="I81" s="7">
        <v>-2.8000000000000101E-2</v>
      </c>
      <c r="K81">
        <v>28</v>
      </c>
      <c r="M81" s="7">
        <v>1.28</v>
      </c>
      <c r="O81">
        <v>28</v>
      </c>
    </row>
    <row r="82" spans="9:15" x14ac:dyDescent="0.25">
      <c r="I82" s="7">
        <v>-2.9000000000000099E-2</v>
      </c>
      <c r="K82">
        <v>29</v>
      </c>
      <c r="M82" s="7">
        <v>1.29</v>
      </c>
      <c r="O82">
        <v>29</v>
      </c>
    </row>
    <row r="83" spans="9:15" x14ac:dyDescent="0.25">
      <c r="I83" s="7">
        <v>-3.00000000000001E-2</v>
      </c>
      <c r="K83">
        <v>30</v>
      </c>
      <c r="M83" s="7">
        <v>1.3</v>
      </c>
      <c r="O83">
        <v>30</v>
      </c>
    </row>
    <row r="84" spans="9:15" x14ac:dyDescent="0.25">
      <c r="I84" s="7">
        <v>-3.10000000000001E-2</v>
      </c>
      <c r="K84">
        <v>31</v>
      </c>
      <c r="M84" s="7">
        <v>1.31</v>
      </c>
      <c r="O84">
        <v>31</v>
      </c>
    </row>
    <row r="85" spans="9:15" x14ac:dyDescent="0.25">
      <c r="I85" s="7">
        <v>-3.2000000000000098E-2</v>
      </c>
      <c r="K85">
        <v>32</v>
      </c>
      <c r="M85" s="7">
        <v>1.32</v>
      </c>
      <c r="O85">
        <v>32</v>
      </c>
    </row>
    <row r="86" spans="9:15" x14ac:dyDescent="0.25">
      <c r="I86" s="7">
        <v>-3.3000000000000099E-2</v>
      </c>
      <c r="K86">
        <v>33</v>
      </c>
      <c r="M86" s="7">
        <v>1.33</v>
      </c>
      <c r="O86">
        <v>33</v>
      </c>
    </row>
    <row r="87" spans="9:15" x14ac:dyDescent="0.25">
      <c r="I87" s="7">
        <v>-3.40000000000001E-2</v>
      </c>
      <c r="K87">
        <v>34</v>
      </c>
      <c r="M87" s="7">
        <v>1.34</v>
      </c>
      <c r="O87">
        <v>34</v>
      </c>
    </row>
    <row r="88" spans="9:15" x14ac:dyDescent="0.25">
      <c r="I88" s="7">
        <v>-3.50000000000001E-2</v>
      </c>
      <c r="K88">
        <v>35</v>
      </c>
      <c r="M88" s="7">
        <v>1.35</v>
      </c>
      <c r="O88">
        <v>35</v>
      </c>
    </row>
    <row r="89" spans="9:15" x14ac:dyDescent="0.25">
      <c r="I89" s="7">
        <v>-3.6000000000000101E-2</v>
      </c>
      <c r="K89">
        <v>36</v>
      </c>
      <c r="M89" s="7">
        <v>1.36</v>
      </c>
      <c r="O89">
        <v>36</v>
      </c>
    </row>
    <row r="90" spans="9:15" x14ac:dyDescent="0.25">
      <c r="I90" s="7">
        <v>-3.7000000000000102E-2</v>
      </c>
      <c r="K90">
        <v>37</v>
      </c>
      <c r="M90" s="7">
        <v>1.37</v>
      </c>
      <c r="O90">
        <v>37</v>
      </c>
    </row>
    <row r="91" spans="9:15" x14ac:dyDescent="0.25">
      <c r="I91" s="7">
        <v>-3.8000000000000103E-2</v>
      </c>
      <c r="K91">
        <v>38</v>
      </c>
      <c r="M91" s="7">
        <v>1.38</v>
      </c>
      <c r="O91">
        <v>38</v>
      </c>
    </row>
    <row r="92" spans="9:15" x14ac:dyDescent="0.25">
      <c r="I92" s="7">
        <v>-3.9000000000000097E-2</v>
      </c>
      <c r="K92">
        <v>39</v>
      </c>
      <c r="M92" s="7">
        <v>1.39</v>
      </c>
      <c r="O92">
        <v>39</v>
      </c>
    </row>
    <row r="93" spans="9:15" x14ac:dyDescent="0.25">
      <c r="I93" s="7">
        <v>-4.0000000000000098E-2</v>
      </c>
      <c r="K93">
        <v>40</v>
      </c>
      <c r="M93" s="7">
        <v>1.4</v>
      </c>
      <c r="O93">
        <v>40</v>
      </c>
    </row>
    <row r="94" spans="9:15" x14ac:dyDescent="0.25">
      <c r="I94" s="7">
        <v>-4.1000000000000099E-2</v>
      </c>
      <c r="K94">
        <v>41</v>
      </c>
      <c r="M94" s="7">
        <v>1.41</v>
      </c>
      <c r="O94">
        <v>41</v>
      </c>
    </row>
    <row r="95" spans="9:15" x14ac:dyDescent="0.25">
      <c r="I95" s="7">
        <v>-4.20000000000001E-2</v>
      </c>
      <c r="K95">
        <v>42</v>
      </c>
      <c r="M95" s="7">
        <v>1.42</v>
      </c>
      <c r="O95">
        <v>42</v>
      </c>
    </row>
    <row r="96" spans="9:15" x14ac:dyDescent="0.25">
      <c r="I96" s="7">
        <v>-4.3000000000000101E-2</v>
      </c>
      <c r="K96">
        <v>43</v>
      </c>
      <c r="M96" s="7">
        <v>1.43</v>
      </c>
      <c r="O96">
        <v>43</v>
      </c>
    </row>
    <row r="97" spans="9:15" x14ac:dyDescent="0.25">
      <c r="I97" s="7">
        <v>-4.4000000000000102E-2</v>
      </c>
      <c r="K97">
        <v>44</v>
      </c>
      <c r="M97" s="7">
        <v>1.44</v>
      </c>
      <c r="O97">
        <v>44</v>
      </c>
    </row>
    <row r="98" spans="9:15" x14ac:dyDescent="0.25">
      <c r="I98" s="7">
        <v>-4.5000000000000102E-2</v>
      </c>
      <c r="K98">
        <v>45</v>
      </c>
      <c r="M98" s="7">
        <v>1.45</v>
      </c>
      <c r="O98">
        <v>45</v>
      </c>
    </row>
    <row r="99" spans="9:15" x14ac:dyDescent="0.25">
      <c r="I99" s="7">
        <v>-4.6000000000000103E-2</v>
      </c>
      <c r="K99">
        <v>46</v>
      </c>
      <c r="M99" s="7">
        <v>1.46</v>
      </c>
      <c r="O99">
        <v>46</v>
      </c>
    </row>
    <row r="100" spans="9:15" x14ac:dyDescent="0.25">
      <c r="I100" s="7">
        <v>-4.7000000000000097E-2</v>
      </c>
      <c r="K100">
        <v>47</v>
      </c>
      <c r="M100" s="7">
        <v>1.47</v>
      </c>
      <c r="O100">
        <v>47</v>
      </c>
    </row>
    <row r="101" spans="9:15" x14ac:dyDescent="0.25">
      <c r="I101" s="7">
        <v>-4.8000000000000098E-2</v>
      </c>
      <c r="K101">
        <v>48</v>
      </c>
      <c r="M101" s="7">
        <v>1.48</v>
      </c>
      <c r="O101">
        <v>48</v>
      </c>
    </row>
    <row r="102" spans="9:15" x14ac:dyDescent="0.25">
      <c r="I102" s="7">
        <v>-4.9000000000000099E-2</v>
      </c>
      <c r="K102">
        <v>49</v>
      </c>
      <c r="M102" s="7">
        <v>1.49</v>
      </c>
      <c r="O102">
        <v>49</v>
      </c>
    </row>
    <row r="103" spans="9:15" x14ac:dyDescent="0.25">
      <c r="I103" s="7">
        <v>-0.05</v>
      </c>
      <c r="K103">
        <v>50</v>
      </c>
      <c r="M103" s="7">
        <v>1.5</v>
      </c>
      <c r="O103">
        <v>50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A932-26D8-411C-8E18-134F74EC0ED9}">
  <dimension ref="B2:U203"/>
  <sheetViews>
    <sheetView workbookViewId="0">
      <selection activeCell="S3" sqref="S3"/>
    </sheetView>
  </sheetViews>
  <sheetFormatPr baseColWidth="10" defaultRowHeight="15" x14ac:dyDescent="0.25"/>
  <cols>
    <col min="2" max="2" width="15.85546875" bestFit="1" customWidth="1"/>
    <col min="6" max="9" width="11.42578125" style="2"/>
    <col min="11" max="13" width="11.42578125" style="2"/>
    <col min="17" max="17" width="11.42578125" style="2"/>
    <col min="19" max="19" width="11.42578125" style="2"/>
  </cols>
  <sheetData>
    <row r="2" spans="2:21" x14ac:dyDescent="0.25">
      <c r="N2" t="s">
        <v>59</v>
      </c>
    </row>
    <row r="3" spans="2:21" x14ac:dyDescent="0.25">
      <c r="B3" t="s">
        <v>135</v>
      </c>
      <c r="C3">
        <f>'Gearing v0.1'!F5</f>
        <v>7000</v>
      </c>
      <c r="E3" t="s">
        <v>118</v>
      </c>
      <c r="F3" s="2">
        <f ca="1">(C17+C8+C14+(C4/10)^2)+C21</f>
        <v>3.3850000000000002</v>
      </c>
      <c r="L3" s="2" t="s">
        <v>124</v>
      </c>
      <c r="M3" s="2">
        <f ca="1">OFFSET(Q3,N3,0)</f>
        <v>0</v>
      </c>
      <c r="N3">
        <v>100</v>
      </c>
      <c r="Q3" s="2">
        <v>1</v>
      </c>
      <c r="S3" s="2">
        <v>2.85</v>
      </c>
      <c r="U3">
        <v>4</v>
      </c>
    </row>
    <row r="4" spans="2:21" x14ac:dyDescent="0.25">
      <c r="B4" t="s">
        <v>134</v>
      </c>
      <c r="C4">
        <f>'Gearing v0.1'!F7</f>
        <v>4</v>
      </c>
      <c r="E4" t="s">
        <v>119</v>
      </c>
      <c r="F4" s="2">
        <f ca="1">(1+C7-C18)+C9</f>
        <v>0.96750000000000003</v>
      </c>
      <c r="L4" s="2" t="s">
        <v>136</v>
      </c>
      <c r="M4" s="2">
        <f ca="1">OFFSET(Q53,N4,0)</f>
        <v>0</v>
      </c>
      <c r="N4">
        <v>50</v>
      </c>
      <c r="Q4" s="2">
        <v>0.99</v>
      </c>
      <c r="S4" s="2">
        <v>2.8</v>
      </c>
      <c r="U4">
        <v>6</v>
      </c>
    </row>
    <row r="5" spans="2:21" x14ac:dyDescent="0.25">
      <c r="B5" t="s">
        <v>129</v>
      </c>
      <c r="C5">
        <f>'Gearing v0.1'!F3</f>
        <v>500</v>
      </c>
      <c r="E5" t="s">
        <v>120</v>
      </c>
      <c r="F5" s="2">
        <f ca="1">((F4/F3)^(1/C4))^(3+M5)</f>
        <v>0.39090319986241107</v>
      </c>
      <c r="L5" s="2" t="s">
        <v>142</v>
      </c>
      <c r="M5" s="2">
        <f ca="1">OFFSET(S3,N5,0)</f>
        <v>-1.9984014443252799E-14</v>
      </c>
      <c r="N5">
        <v>57</v>
      </c>
      <c r="Q5" s="2">
        <v>0.98</v>
      </c>
      <c r="S5" s="2">
        <v>2.75</v>
      </c>
      <c r="U5">
        <v>7</v>
      </c>
    </row>
    <row r="6" spans="2:21" x14ac:dyDescent="0.25">
      <c r="Q6" s="2">
        <v>0.97</v>
      </c>
      <c r="S6" s="2">
        <v>2.7</v>
      </c>
      <c r="U6">
        <v>8</v>
      </c>
    </row>
    <row r="7" spans="2:21" x14ac:dyDescent="0.25">
      <c r="B7" t="s">
        <v>117</v>
      </c>
      <c r="C7">
        <f>C3/100000/C4</f>
        <v>1.7500000000000002E-2</v>
      </c>
      <c r="E7" t="s">
        <v>111</v>
      </c>
      <c r="F7" s="2" cm="1">
        <f t="array" aca="1" ref="F7:F10" ca="1">(F3-F5)*((F4-F5)/(F3-F5))^((_xlfn.SEQUENCE(C4,,0))/(C4-1))+F5</f>
        <v>3.3849999999999998</v>
      </c>
      <c r="Q7" s="2">
        <v>0.96</v>
      </c>
      <c r="S7" s="2">
        <v>2.65</v>
      </c>
      <c r="U7">
        <v>9</v>
      </c>
    </row>
    <row r="8" spans="2:21" x14ac:dyDescent="0.25">
      <c r="B8" t="s">
        <v>124</v>
      </c>
      <c r="C8" s="2">
        <f ca="1">2.5+M3</f>
        <v>2.5</v>
      </c>
      <c r="E8" t="s">
        <v>112</v>
      </c>
      <c r="F8" s="2">
        <f ca="1"/>
        <v>2.1199283110422775</v>
      </c>
      <c r="Q8" s="2">
        <v>0.95</v>
      </c>
      <c r="S8" s="2">
        <v>2.6</v>
      </c>
      <c r="U8">
        <v>10</v>
      </c>
    </row>
    <row r="9" spans="2:21" x14ac:dyDescent="0.25">
      <c r="B9" t="s">
        <v>136</v>
      </c>
      <c r="C9" s="2">
        <f ca="1">M4</f>
        <v>0</v>
      </c>
      <c r="E9" t="s">
        <v>113</v>
      </c>
      <c r="F9" s="2">
        <f ca="1"/>
        <v>1.389377208769929</v>
      </c>
      <c r="Q9" s="2">
        <v>0.94</v>
      </c>
      <c r="S9" s="2">
        <v>2.5499999999999998</v>
      </c>
    </row>
    <row r="10" spans="2:21" x14ac:dyDescent="0.25">
      <c r="E10" t="s">
        <v>114</v>
      </c>
      <c r="F10" s="2">
        <f ca="1"/>
        <v>0.96750000000000003</v>
      </c>
      <c r="Q10" s="2">
        <v>0.93</v>
      </c>
      <c r="S10" s="2">
        <v>2.5</v>
      </c>
    </row>
    <row r="11" spans="2:21" x14ac:dyDescent="0.25">
      <c r="B11" t="s">
        <v>121</v>
      </c>
      <c r="C11">
        <f>'Redux v0.4'!D7</f>
        <v>225</v>
      </c>
      <c r="E11" t="s">
        <v>115</v>
      </c>
      <c r="Q11" s="2">
        <v>0.92</v>
      </c>
      <c r="S11" s="2">
        <v>2.4500000000000002</v>
      </c>
    </row>
    <row r="12" spans="2:21" x14ac:dyDescent="0.25">
      <c r="B12" t="s">
        <v>122</v>
      </c>
      <c r="C12">
        <f>'Redux v0.4'!D8</f>
        <v>225</v>
      </c>
      <c r="E12" t="s">
        <v>116</v>
      </c>
      <c r="Q12" s="2">
        <v>0.91</v>
      </c>
      <c r="S12" s="2">
        <v>2.4</v>
      </c>
    </row>
    <row r="13" spans="2:21" x14ac:dyDescent="0.25">
      <c r="B13" t="s">
        <v>107</v>
      </c>
      <c r="C13">
        <f>IF('Redux v0.4'!D11="FWD",'Gearing DataCalc'!C11,'Gearing DataCalc'!C12)</f>
        <v>225</v>
      </c>
      <c r="E13" t="s">
        <v>125</v>
      </c>
      <c r="Q13" s="2">
        <v>0.9</v>
      </c>
      <c r="S13" s="2">
        <v>2.35</v>
      </c>
    </row>
    <row r="14" spans="2:21" x14ac:dyDescent="0.25">
      <c r="B14" t="s">
        <v>123</v>
      </c>
      <c r="C14">
        <f>(C13/1000)</f>
        <v>0.22500000000000001</v>
      </c>
      <c r="E14" t="s">
        <v>126</v>
      </c>
      <c r="Q14" s="2">
        <v>0.89</v>
      </c>
      <c r="S14" s="2">
        <v>2.2999999999999998</v>
      </c>
    </row>
    <row r="15" spans="2:21" x14ac:dyDescent="0.25">
      <c r="E15" t="s">
        <v>127</v>
      </c>
      <c r="Q15" s="2">
        <v>0.88</v>
      </c>
      <c r="S15" s="2">
        <v>2.25</v>
      </c>
    </row>
    <row r="16" spans="2:21" x14ac:dyDescent="0.25">
      <c r="B16" t="s">
        <v>132</v>
      </c>
      <c r="C16">
        <f>C5/1000</f>
        <v>0.5</v>
      </c>
      <c r="E16" t="s">
        <v>128</v>
      </c>
      <c r="Q16" s="2">
        <v>0.87</v>
      </c>
      <c r="S16" s="2">
        <v>2.2000000000000002</v>
      </c>
    </row>
    <row r="17" spans="2:19" x14ac:dyDescent="0.25">
      <c r="B17" t="s">
        <v>130</v>
      </c>
      <c r="C17" s="4">
        <f>(4-C16)/7</f>
        <v>0.5</v>
      </c>
      <c r="Q17" s="2">
        <v>0.86</v>
      </c>
      <c r="S17" s="2">
        <v>2.15</v>
      </c>
    </row>
    <row r="18" spans="2:19" x14ac:dyDescent="0.25">
      <c r="B18" t="s">
        <v>131</v>
      </c>
      <c r="C18">
        <f>C5/10000</f>
        <v>0.05</v>
      </c>
      <c r="Q18" s="2">
        <v>0.85</v>
      </c>
      <c r="S18" s="2">
        <v>2.1</v>
      </c>
    </row>
    <row r="19" spans="2:19" x14ac:dyDescent="0.25">
      <c r="Q19" s="2">
        <v>0.84</v>
      </c>
      <c r="S19" s="2">
        <v>2.0499999999999998</v>
      </c>
    </row>
    <row r="20" spans="2:19" x14ac:dyDescent="0.25">
      <c r="B20" t="s">
        <v>133</v>
      </c>
      <c r="C20">
        <v>0.5</v>
      </c>
      <c r="Q20" s="2">
        <v>0.83</v>
      </c>
      <c r="S20" s="2">
        <v>2</v>
      </c>
    </row>
    <row r="21" spans="2:19" x14ac:dyDescent="0.25">
      <c r="B21" t="s">
        <v>133</v>
      </c>
      <c r="C21">
        <f>IF('Redux v0.4'!D11="AWD",'Gearing DataCalc'!C20,0)</f>
        <v>0</v>
      </c>
      <c r="Q21" s="2">
        <v>0.82</v>
      </c>
      <c r="S21" s="2">
        <v>1.95</v>
      </c>
    </row>
    <row r="22" spans="2:19" x14ac:dyDescent="0.25">
      <c r="Q22" s="2">
        <v>0.81</v>
      </c>
      <c r="S22" s="2">
        <v>1.9</v>
      </c>
    </row>
    <row r="23" spans="2:19" x14ac:dyDescent="0.25">
      <c r="Q23" s="2">
        <v>0.8</v>
      </c>
      <c r="S23" s="2">
        <v>1.8499999999999901</v>
      </c>
    </row>
    <row r="24" spans="2:19" x14ac:dyDescent="0.25">
      <c r="Q24" s="2">
        <v>0.79</v>
      </c>
      <c r="S24" s="2">
        <v>1.7999999999999901</v>
      </c>
    </row>
    <row r="25" spans="2:19" x14ac:dyDescent="0.25">
      <c r="Q25" s="2">
        <v>0.78</v>
      </c>
      <c r="S25" s="2">
        <v>1.74999999999999</v>
      </c>
    </row>
    <row r="26" spans="2:19" x14ac:dyDescent="0.25">
      <c r="Q26" s="2">
        <v>0.77</v>
      </c>
      <c r="S26" s="2">
        <v>1.69999999999999</v>
      </c>
    </row>
    <row r="27" spans="2:19" x14ac:dyDescent="0.25">
      <c r="B27" t="s">
        <v>107</v>
      </c>
      <c r="C27">
        <v>265</v>
      </c>
      <c r="Q27" s="2">
        <v>0.76</v>
      </c>
      <c r="S27" s="2">
        <v>1.6499999999999899</v>
      </c>
    </row>
    <row r="28" spans="2:19" x14ac:dyDescent="0.25">
      <c r="B28" t="s">
        <v>109</v>
      </c>
      <c r="C28">
        <v>35</v>
      </c>
      <c r="Q28" s="2">
        <v>0.75</v>
      </c>
      <c r="S28" s="2">
        <v>1.5999999999999901</v>
      </c>
    </row>
    <row r="29" spans="2:19" x14ac:dyDescent="0.25">
      <c r="B29" t="s">
        <v>108</v>
      </c>
      <c r="C29">
        <v>18</v>
      </c>
      <c r="Q29" s="2">
        <v>0.74</v>
      </c>
      <c r="S29" s="2">
        <v>1.5499999999999901</v>
      </c>
    </row>
    <row r="30" spans="2:19" x14ac:dyDescent="0.25">
      <c r="B30" t="s">
        <v>110</v>
      </c>
      <c r="C30" s="7">
        <f>((C27*(C28/100)*2)/25.4)+C29</f>
        <v>25.303149606299215</v>
      </c>
      <c r="Q30" s="2">
        <v>0.73</v>
      </c>
      <c r="S30" s="2">
        <v>1.49999999999999</v>
      </c>
    </row>
    <row r="31" spans="2:19" x14ac:dyDescent="0.25">
      <c r="Q31" s="2">
        <v>0.72</v>
      </c>
      <c r="S31" s="2">
        <v>1.44999999999999</v>
      </c>
    </row>
    <row r="32" spans="2:19" x14ac:dyDescent="0.25">
      <c r="Q32" s="2">
        <v>0.71</v>
      </c>
      <c r="S32" s="2">
        <v>1.3999999999999899</v>
      </c>
    </row>
    <row r="33" spans="17:19" x14ac:dyDescent="0.25">
      <c r="Q33" s="2">
        <v>0.7</v>
      </c>
      <c r="S33" s="2">
        <v>1.3499999999999901</v>
      </c>
    </row>
    <row r="34" spans="17:19" x14ac:dyDescent="0.25">
      <c r="Q34" s="2">
        <v>0.69</v>
      </c>
      <c r="S34" s="2">
        <v>1.2999999999999901</v>
      </c>
    </row>
    <row r="35" spans="17:19" x14ac:dyDescent="0.25">
      <c r="Q35" s="2">
        <v>0.68</v>
      </c>
      <c r="S35" s="2">
        <v>1.24999999999999</v>
      </c>
    </row>
    <row r="36" spans="17:19" x14ac:dyDescent="0.25">
      <c r="Q36" s="2">
        <v>0.67</v>
      </c>
      <c r="S36" s="2">
        <v>1.19999999999999</v>
      </c>
    </row>
    <row r="37" spans="17:19" x14ac:dyDescent="0.25">
      <c r="Q37" s="2">
        <v>0.66</v>
      </c>
      <c r="S37" s="2">
        <v>1.1499999999999899</v>
      </c>
    </row>
    <row r="38" spans="17:19" x14ac:dyDescent="0.25">
      <c r="Q38" s="2">
        <v>0.65</v>
      </c>
      <c r="S38" s="2">
        <v>1.0999999999999901</v>
      </c>
    </row>
    <row r="39" spans="17:19" x14ac:dyDescent="0.25">
      <c r="Q39" s="2">
        <v>0.64</v>
      </c>
      <c r="S39" s="2">
        <v>1.0499999999999901</v>
      </c>
    </row>
    <row r="40" spans="17:19" x14ac:dyDescent="0.25">
      <c r="Q40" s="2">
        <v>0.63</v>
      </c>
      <c r="S40" s="2">
        <v>0.99999999999999001</v>
      </c>
    </row>
    <row r="41" spans="17:19" x14ac:dyDescent="0.25">
      <c r="Q41" s="2">
        <v>0.62</v>
      </c>
      <c r="S41" s="2">
        <v>0.94999999999998996</v>
      </c>
    </row>
    <row r="42" spans="17:19" x14ac:dyDescent="0.25">
      <c r="Q42" s="2">
        <v>0.61</v>
      </c>
      <c r="S42" s="2">
        <v>0.89999999999999003</v>
      </c>
    </row>
    <row r="43" spans="17:19" x14ac:dyDescent="0.25">
      <c r="Q43" s="2">
        <v>0.6</v>
      </c>
      <c r="S43" s="2">
        <v>0.84999999999998999</v>
      </c>
    </row>
    <row r="44" spans="17:19" x14ac:dyDescent="0.25">
      <c r="Q44" s="2">
        <v>0.59</v>
      </c>
      <c r="S44" s="2">
        <v>0.79999999999999005</v>
      </c>
    </row>
    <row r="45" spans="17:19" x14ac:dyDescent="0.25">
      <c r="Q45" s="2">
        <v>0.57999999999999996</v>
      </c>
      <c r="S45" s="2">
        <v>0.74999999999999001</v>
      </c>
    </row>
    <row r="46" spans="17:19" x14ac:dyDescent="0.25">
      <c r="Q46" s="2">
        <v>0.56999999999999995</v>
      </c>
      <c r="S46" s="2">
        <v>0.69999999999998996</v>
      </c>
    </row>
    <row r="47" spans="17:19" x14ac:dyDescent="0.25">
      <c r="Q47" s="2">
        <v>0.56000000000000005</v>
      </c>
      <c r="S47" s="2">
        <v>0.64999999999999003</v>
      </c>
    </row>
    <row r="48" spans="17:19" x14ac:dyDescent="0.25">
      <c r="Q48" s="2">
        <v>0.55000000000000004</v>
      </c>
      <c r="S48" s="2">
        <v>0.59999999999998999</v>
      </c>
    </row>
    <row r="49" spans="17:19" x14ac:dyDescent="0.25">
      <c r="Q49" s="2">
        <v>0.54</v>
      </c>
      <c r="S49" s="2">
        <v>0.54999999999999005</v>
      </c>
    </row>
    <row r="50" spans="17:19" x14ac:dyDescent="0.25">
      <c r="Q50" s="2">
        <v>0.53</v>
      </c>
      <c r="S50" s="2">
        <v>0.49999999999999001</v>
      </c>
    </row>
    <row r="51" spans="17:19" x14ac:dyDescent="0.25">
      <c r="Q51" s="2">
        <v>0.52</v>
      </c>
      <c r="S51" s="2">
        <v>0.44999999999999002</v>
      </c>
    </row>
    <row r="52" spans="17:19" x14ac:dyDescent="0.25">
      <c r="Q52" s="2">
        <v>0.51</v>
      </c>
      <c r="S52" s="2">
        <v>0.39999999999998997</v>
      </c>
    </row>
    <row r="53" spans="17:19" x14ac:dyDescent="0.25">
      <c r="Q53" s="2">
        <v>0.5</v>
      </c>
      <c r="S53" s="2">
        <v>0.34999999999998999</v>
      </c>
    </row>
    <row r="54" spans="17:19" x14ac:dyDescent="0.25">
      <c r="Q54" s="2">
        <v>0.49</v>
      </c>
      <c r="S54" s="2">
        <v>0.29999999999999</v>
      </c>
    </row>
    <row r="55" spans="17:19" x14ac:dyDescent="0.25">
      <c r="Q55" s="2">
        <v>0.48</v>
      </c>
      <c r="S55" s="2">
        <v>0.24999999999999001</v>
      </c>
    </row>
    <row r="56" spans="17:19" x14ac:dyDescent="0.25">
      <c r="Q56" s="2">
        <v>0.47</v>
      </c>
      <c r="S56" s="2">
        <v>0.19999999999998999</v>
      </c>
    </row>
    <row r="57" spans="17:19" x14ac:dyDescent="0.25">
      <c r="Q57" s="2">
        <v>0.46</v>
      </c>
      <c r="S57" s="2">
        <v>0.14999999999999</v>
      </c>
    </row>
    <row r="58" spans="17:19" x14ac:dyDescent="0.25">
      <c r="Q58" s="2">
        <v>0.45</v>
      </c>
      <c r="S58" s="2">
        <v>9.9999999999989903E-2</v>
      </c>
    </row>
    <row r="59" spans="17:19" x14ac:dyDescent="0.25">
      <c r="Q59" s="2">
        <v>0.44</v>
      </c>
      <c r="S59" s="2">
        <v>4.9999999999990101E-2</v>
      </c>
    </row>
    <row r="60" spans="17:19" x14ac:dyDescent="0.25">
      <c r="Q60" s="2">
        <v>0.42999999999999899</v>
      </c>
      <c r="S60" s="2">
        <v>-1.9984014443252799E-14</v>
      </c>
    </row>
    <row r="61" spans="17:19" x14ac:dyDescent="0.25">
      <c r="Q61" s="2">
        <v>0.41999999999999899</v>
      </c>
      <c r="S61" s="2">
        <v>-5.0000000000019799E-2</v>
      </c>
    </row>
    <row r="62" spans="17:19" x14ac:dyDescent="0.25">
      <c r="Q62" s="2">
        <v>0.40999999999999898</v>
      </c>
      <c r="S62" s="2">
        <v>-0.10000000000002</v>
      </c>
    </row>
    <row r="63" spans="17:19" x14ac:dyDescent="0.25">
      <c r="Q63" s="2">
        <v>0.39999999999999902</v>
      </c>
      <c r="S63" s="2">
        <v>-0.15000000000002001</v>
      </c>
    </row>
    <row r="64" spans="17:19" x14ac:dyDescent="0.25">
      <c r="Q64" s="2">
        <v>0.38999999999999901</v>
      </c>
      <c r="S64" s="2">
        <v>-0.20000000000002</v>
      </c>
    </row>
    <row r="65" spans="17:19" x14ac:dyDescent="0.25">
      <c r="Q65" s="2">
        <v>0.37999999999999901</v>
      </c>
      <c r="S65" s="2">
        <v>-0.25000000000001998</v>
      </c>
    </row>
    <row r="66" spans="17:19" x14ac:dyDescent="0.25">
      <c r="Q66" s="2">
        <v>0.369999999999999</v>
      </c>
      <c r="S66" s="2">
        <v>-0.30000000000001997</v>
      </c>
    </row>
    <row r="67" spans="17:19" x14ac:dyDescent="0.25">
      <c r="Q67" s="2">
        <v>0.35999999999999899</v>
      </c>
      <c r="S67" s="2">
        <v>-0.35000000000002002</v>
      </c>
    </row>
    <row r="68" spans="17:19" x14ac:dyDescent="0.25">
      <c r="Q68" s="2">
        <v>0.34999999999999898</v>
      </c>
      <c r="S68" s="2">
        <v>-0.40000000000002001</v>
      </c>
    </row>
    <row r="69" spans="17:19" x14ac:dyDescent="0.25">
      <c r="Q69" s="2">
        <v>0.33999999999999903</v>
      </c>
      <c r="S69" s="2">
        <v>-0.45000000000002</v>
      </c>
    </row>
    <row r="70" spans="17:19" x14ac:dyDescent="0.25">
      <c r="Q70" s="2">
        <v>0.32999999999999902</v>
      </c>
      <c r="S70" s="2">
        <v>-0.50000000000001998</v>
      </c>
    </row>
    <row r="71" spans="17:19" x14ac:dyDescent="0.25">
      <c r="Q71" s="2">
        <v>0.31999999999999901</v>
      </c>
      <c r="S71" s="2">
        <v>-0.55000000000002003</v>
      </c>
    </row>
    <row r="72" spans="17:19" x14ac:dyDescent="0.25">
      <c r="Q72" s="2">
        <v>0.309999999999999</v>
      </c>
      <c r="S72" s="2">
        <v>-0.60000000000001996</v>
      </c>
    </row>
    <row r="73" spans="17:19" x14ac:dyDescent="0.25">
      <c r="Q73" s="2">
        <v>0.29999999999999899</v>
      </c>
      <c r="S73" s="2">
        <v>-0.65000000000002001</v>
      </c>
    </row>
    <row r="74" spans="17:19" x14ac:dyDescent="0.25">
      <c r="Q74" s="2">
        <v>0.28999999999999898</v>
      </c>
      <c r="S74" s="2">
        <v>-0.70000000000002005</v>
      </c>
    </row>
    <row r="75" spans="17:19" x14ac:dyDescent="0.25">
      <c r="Q75" s="2">
        <v>0.27999999999999903</v>
      </c>
      <c r="S75" s="2">
        <v>-0.75000000000001998</v>
      </c>
    </row>
    <row r="76" spans="17:19" x14ac:dyDescent="0.25">
      <c r="Q76" s="2">
        <v>0.26999999999999902</v>
      </c>
      <c r="S76" s="2">
        <v>-0.80000000000002003</v>
      </c>
    </row>
    <row r="77" spans="17:19" x14ac:dyDescent="0.25">
      <c r="Q77" s="2">
        <v>0.25999999999999901</v>
      </c>
      <c r="S77" s="2">
        <v>-0.85000000000001996</v>
      </c>
    </row>
    <row r="78" spans="17:19" x14ac:dyDescent="0.25">
      <c r="Q78" s="2">
        <v>0.249999999999999</v>
      </c>
      <c r="S78" s="2">
        <v>-0.90000000000002001</v>
      </c>
    </row>
    <row r="79" spans="17:19" x14ac:dyDescent="0.25">
      <c r="Q79" s="2">
        <v>0.23999999999999899</v>
      </c>
      <c r="S79" s="2">
        <v>-0.95000000000002005</v>
      </c>
    </row>
    <row r="80" spans="17:19" x14ac:dyDescent="0.25">
      <c r="Q80" s="2">
        <v>0.22999999999999901</v>
      </c>
      <c r="S80" s="2">
        <v>-1.00000000000002</v>
      </c>
    </row>
    <row r="81" spans="17:19" x14ac:dyDescent="0.25">
      <c r="Q81" s="2">
        <v>0.219999999999999</v>
      </c>
      <c r="S81" s="2">
        <v>-1.05000000000002</v>
      </c>
    </row>
    <row r="82" spans="17:19" x14ac:dyDescent="0.25">
      <c r="Q82" s="2">
        <v>0.20999999999999899</v>
      </c>
      <c r="S82" s="2">
        <v>-1.1000000000000201</v>
      </c>
    </row>
    <row r="83" spans="17:19" x14ac:dyDescent="0.25">
      <c r="Q83" s="2">
        <v>0.19999999999999901</v>
      </c>
      <c r="S83" s="2">
        <v>-1.1500000000000199</v>
      </c>
    </row>
    <row r="84" spans="17:19" x14ac:dyDescent="0.25">
      <c r="Q84" s="2">
        <v>0.189999999999999</v>
      </c>
      <c r="S84" s="2">
        <v>-1.2000000000000199</v>
      </c>
    </row>
    <row r="85" spans="17:19" x14ac:dyDescent="0.25">
      <c r="Q85" s="2">
        <v>0.17999999999999899</v>
      </c>
      <c r="S85" s="2">
        <v>-1.25000000000002</v>
      </c>
    </row>
    <row r="86" spans="17:19" x14ac:dyDescent="0.25">
      <c r="Q86" s="2">
        <v>0.16999999999999901</v>
      </c>
      <c r="S86" s="2">
        <v>-1.30000000000002</v>
      </c>
    </row>
    <row r="87" spans="17:19" x14ac:dyDescent="0.25">
      <c r="Q87" s="2">
        <v>0.159999999999999</v>
      </c>
      <c r="S87" s="2">
        <v>-1.3500000000000201</v>
      </c>
    </row>
    <row r="88" spans="17:19" x14ac:dyDescent="0.25">
      <c r="Q88" s="2">
        <v>0.149999999999999</v>
      </c>
      <c r="S88" s="2">
        <v>-1.4000000000000199</v>
      </c>
    </row>
    <row r="89" spans="17:19" x14ac:dyDescent="0.25">
      <c r="Q89" s="2">
        <v>0.13999999999999899</v>
      </c>
      <c r="S89" s="2">
        <v>-1.4500000000000199</v>
      </c>
    </row>
    <row r="90" spans="17:19" x14ac:dyDescent="0.25">
      <c r="Q90" s="2">
        <v>0.12999999999999901</v>
      </c>
      <c r="S90" s="2">
        <v>-1.50000000000002</v>
      </c>
    </row>
    <row r="91" spans="17:19" x14ac:dyDescent="0.25">
      <c r="Q91" s="2">
        <v>0.119999999999999</v>
      </c>
      <c r="S91" s="2">
        <v>-1.55000000000002</v>
      </c>
    </row>
    <row r="92" spans="17:19" x14ac:dyDescent="0.25">
      <c r="Q92" s="2">
        <v>0.109999999999999</v>
      </c>
      <c r="S92" s="2">
        <v>-1.6000000000000201</v>
      </c>
    </row>
    <row r="93" spans="17:19" x14ac:dyDescent="0.25">
      <c r="Q93" s="2">
        <v>9.9999999999999006E-2</v>
      </c>
      <c r="S93" s="2">
        <v>-1.6500000000000199</v>
      </c>
    </row>
    <row r="94" spans="17:19" x14ac:dyDescent="0.25">
      <c r="Q94" s="2">
        <v>8.9999999999998997E-2</v>
      </c>
      <c r="S94" s="2">
        <v>-1.7000000000000199</v>
      </c>
    </row>
    <row r="95" spans="17:19" x14ac:dyDescent="0.25">
      <c r="Q95" s="2">
        <v>7.9999999999999002E-2</v>
      </c>
      <c r="S95" s="2">
        <v>-1.75000000000002</v>
      </c>
    </row>
    <row r="96" spans="17:19" x14ac:dyDescent="0.25">
      <c r="Q96" s="2">
        <v>6.9999999999998994E-2</v>
      </c>
      <c r="S96" s="2">
        <v>-1.80000000000003</v>
      </c>
    </row>
    <row r="97" spans="17:19" x14ac:dyDescent="0.25">
      <c r="Q97" s="2">
        <v>5.9999999999999103E-2</v>
      </c>
      <c r="S97" s="2">
        <v>-1.8500000000000301</v>
      </c>
    </row>
    <row r="98" spans="17:19" x14ac:dyDescent="0.25">
      <c r="Q98" s="2">
        <v>4.9999999999998997E-2</v>
      </c>
      <c r="S98" s="2">
        <v>-1.9000000000000199</v>
      </c>
    </row>
    <row r="99" spans="17:19" x14ac:dyDescent="0.25">
      <c r="Q99" s="2">
        <v>3.9999999999999002E-2</v>
      </c>
      <c r="S99" s="2">
        <v>-1.9500000000000299</v>
      </c>
    </row>
    <row r="100" spans="17:19" x14ac:dyDescent="0.25">
      <c r="Q100" s="2">
        <v>2.9999999999999E-2</v>
      </c>
      <c r="S100" s="2">
        <v>-2.0000000000000302</v>
      </c>
    </row>
    <row r="101" spans="17:19" x14ac:dyDescent="0.25">
      <c r="Q101" s="2">
        <v>1.9999999999999001E-2</v>
      </c>
      <c r="S101" s="2">
        <v>-2.05000000000003</v>
      </c>
    </row>
    <row r="102" spans="17:19" x14ac:dyDescent="0.25">
      <c r="Q102" s="2">
        <v>9.9999999999990097E-3</v>
      </c>
      <c r="S102" s="2">
        <v>-2.1000000000000298</v>
      </c>
    </row>
    <row r="103" spans="17:19" x14ac:dyDescent="0.25">
      <c r="Q103" s="2">
        <v>0</v>
      </c>
      <c r="S103" s="2">
        <v>-2.1500000000000301</v>
      </c>
    </row>
    <row r="104" spans="17:19" x14ac:dyDescent="0.25">
      <c r="Q104" s="2">
        <v>-0.01</v>
      </c>
      <c r="S104" s="2">
        <v>-2.2000000000000299</v>
      </c>
    </row>
    <row r="105" spans="17:19" x14ac:dyDescent="0.25">
      <c r="Q105" s="2">
        <v>-0.02</v>
      </c>
      <c r="S105" s="2">
        <v>-2.2500000000000302</v>
      </c>
    </row>
    <row r="106" spans="17:19" x14ac:dyDescent="0.25">
      <c r="Q106" s="2">
        <v>-0.03</v>
      </c>
      <c r="S106" s="2">
        <v>-2.30000000000003</v>
      </c>
    </row>
    <row r="107" spans="17:19" x14ac:dyDescent="0.25">
      <c r="Q107" s="2">
        <v>-0.04</v>
      </c>
      <c r="S107" s="2">
        <v>-2.3500000000000298</v>
      </c>
    </row>
    <row r="108" spans="17:19" x14ac:dyDescent="0.25">
      <c r="Q108" s="2">
        <v>-0.05</v>
      </c>
      <c r="S108" s="2">
        <v>-2.4000000000000301</v>
      </c>
    </row>
    <row r="109" spans="17:19" x14ac:dyDescent="0.25">
      <c r="Q109" s="2">
        <v>-6.0000000000000102E-2</v>
      </c>
      <c r="S109" s="2">
        <v>-2.4500000000000299</v>
      </c>
    </row>
    <row r="110" spans="17:19" x14ac:dyDescent="0.25">
      <c r="Q110" s="2">
        <v>-7.0000000000000104E-2</v>
      </c>
      <c r="S110" s="2">
        <v>-2.5000000000000302</v>
      </c>
    </row>
    <row r="111" spans="17:19" x14ac:dyDescent="0.25">
      <c r="Q111" s="2">
        <v>-8.0000000000000099E-2</v>
      </c>
      <c r="S111" s="2">
        <v>-2.55000000000003</v>
      </c>
    </row>
    <row r="112" spans="17:19" x14ac:dyDescent="0.25">
      <c r="Q112" s="2">
        <v>-9.0000000000000094E-2</v>
      </c>
      <c r="S112" s="2">
        <v>-2.6000000000000298</v>
      </c>
    </row>
    <row r="113" spans="17:19" x14ac:dyDescent="0.25">
      <c r="Q113" s="2">
        <v>-0.1</v>
      </c>
      <c r="S113" s="2">
        <v>-2.6500000000000301</v>
      </c>
    </row>
    <row r="114" spans="17:19" x14ac:dyDescent="0.25">
      <c r="Q114" s="2">
        <v>-0.11</v>
      </c>
      <c r="S114" s="2">
        <v>-2.7000000000000299</v>
      </c>
    </row>
    <row r="115" spans="17:19" x14ac:dyDescent="0.25">
      <c r="Q115" s="2">
        <v>-0.12</v>
      </c>
      <c r="S115" s="2">
        <v>-2.7500000000000302</v>
      </c>
    </row>
    <row r="116" spans="17:19" x14ac:dyDescent="0.25">
      <c r="Q116" s="2">
        <v>-0.13</v>
      </c>
      <c r="S116" s="2">
        <v>-2.80000000000003</v>
      </c>
    </row>
    <row r="117" spans="17:19" x14ac:dyDescent="0.25">
      <c r="Q117" s="2">
        <v>-0.14000000000000001</v>
      </c>
      <c r="S117" s="2">
        <v>-2.8500000000000298</v>
      </c>
    </row>
    <row r="118" spans="17:19" x14ac:dyDescent="0.25">
      <c r="Q118" s="2">
        <v>-0.15</v>
      </c>
    </row>
    <row r="119" spans="17:19" x14ac:dyDescent="0.25">
      <c r="Q119" s="2">
        <v>-0.16</v>
      </c>
    </row>
    <row r="120" spans="17:19" x14ac:dyDescent="0.25">
      <c r="Q120" s="2">
        <v>-0.17</v>
      </c>
    </row>
    <row r="121" spans="17:19" x14ac:dyDescent="0.25">
      <c r="Q121" s="2">
        <v>-0.18</v>
      </c>
    </row>
    <row r="122" spans="17:19" x14ac:dyDescent="0.25">
      <c r="Q122" s="2">
        <v>-0.19</v>
      </c>
    </row>
    <row r="123" spans="17:19" x14ac:dyDescent="0.25">
      <c r="Q123" s="2">
        <v>-0.2</v>
      </c>
    </row>
    <row r="124" spans="17:19" x14ac:dyDescent="0.25">
      <c r="Q124" s="2">
        <v>-0.21</v>
      </c>
    </row>
    <row r="125" spans="17:19" x14ac:dyDescent="0.25">
      <c r="Q125" s="2">
        <v>-0.22</v>
      </c>
    </row>
    <row r="126" spans="17:19" x14ac:dyDescent="0.25">
      <c r="Q126" s="2">
        <v>-0.23</v>
      </c>
    </row>
    <row r="127" spans="17:19" x14ac:dyDescent="0.25">
      <c r="Q127" s="2">
        <v>-0.24</v>
      </c>
    </row>
    <row r="128" spans="17:19" x14ac:dyDescent="0.25">
      <c r="Q128" s="2">
        <v>-0.25</v>
      </c>
    </row>
    <row r="129" spans="17:17" x14ac:dyDescent="0.25">
      <c r="Q129" s="2">
        <v>-0.26</v>
      </c>
    </row>
    <row r="130" spans="17:17" x14ac:dyDescent="0.25">
      <c r="Q130" s="2">
        <v>-0.27</v>
      </c>
    </row>
    <row r="131" spans="17:17" x14ac:dyDescent="0.25">
      <c r="Q131" s="2">
        <v>-0.28000000000000003</v>
      </c>
    </row>
    <row r="132" spans="17:17" x14ac:dyDescent="0.25">
      <c r="Q132" s="2">
        <v>-0.28999999999999998</v>
      </c>
    </row>
    <row r="133" spans="17:17" x14ac:dyDescent="0.25">
      <c r="Q133" s="2">
        <v>-0.3</v>
      </c>
    </row>
    <row r="134" spans="17:17" x14ac:dyDescent="0.25">
      <c r="Q134" s="2">
        <v>-0.31</v>
      </c>
    </row>
    <row r="135" spans="17:17" x14ac:dyDescent="0.25">
      <c r="Q135" s="2">
        <v>-0.32</v>
      </c>
    </row>
    <row r="136" spans="17:17" x14ac:dyDescent="0.25">
      <c r="Q136" s="2">
        <v>-0.33</v>
      </c>
    </row>
    <row r="137" spans="17:17" x14ac:dyDescent="0.25">
      <c r="Q137" s="2">
        <v>-0.34</v>
      </c>
    </row>
    <row r="138" spans="17:17" x14ac:dyDescent="0.25">
      <c r="Q138" s="2">
        <v>-0.35</v>
      </c>
    </row>
    <row r="139" spans="17:17" x14ac:dyDescent="0.25">
      <c r="Q139" s="2">
        <v>-0.36</v>
      </c>
    </row>
    <row r="140" spans="17:17" x14ac:dyDescent="0.25">
      <c r="Q140" s="2">
        <v>-0.37</v>
      </c>
    </row>
    <row r="141" spans="17:17" x14ac:dyDescent="0.25">
      <c r="Q141" s="2">
        <v>-0.38</v>
      </c>
    </row>
    <row r="142" spans="17:17" x14ac:dyDescent="0.25">
      <c r="Q142" s="2">
        <v>-0.39</v>
      </c>
    </row>
    <row r="143" spans="17:17" x14ac:dyDescent="0.25">
      <c r="Q143" s="2">
        <v>-0.4</v>
      </c>
    </row>
    <row r="144" spans="17:17" x14ac:dyDescent="0.25">
      <c r="Q144" s="2">
        <v>-0.41</v>
      </c>
    </row>
    <row r="145" spans="17:17" x14ac:dyDescent="0.25">
      <c r="Q145" s="2">
        <v>-0.42</v>
      </c>
    </row>
    <row r="146" spans="17:17" x14ac:dyDescent="0.25">
      <c r="Q146" s="2">
        <v>-0.43</v>
      </c>
    </row>
    <row r="147" spans="17:17" x14ac:dyDescent="0.25">
      <c r="Q147" s="2">
        <v>-0.44</v>
      </c>
    </row>
    <row r="148" spans="17:17" x14ac:dyDescent="0.25">
      <c r="Q148" s="2">
        <v>-0.45</v>
      </c>
    </row>
    <row r="149" spans="17:17" x14ac:dyDescent="0.25">
      <c r="Q149" s="2">
        <v>-0.46</v>
      </c>
    </row>
    <row r="150" spans="17:17" x14ac:dyDescent="0.25">
      <c r="Q150" s="2">
        <v>-0.47</v>
      </c>
    </row>
    <row r="151" spans="17:17" x14ac:dyDescent="0.25">
      <c r="Q151" s="2">
        <v>-0.48</v>
      </c>
    </row>
    <row r="152" spans="17:17" x14ac:dyDescent="0.25">
      <c r="Q152" s="2">
        <v>-0.49</v>
      </c>
    </row>
    <row r="153" spans="17:17" x14ac:dyDescent="0.25">
      <c r="Q153" s="2">
        <v>-0.5</v>
      </c>
    </row>
    <row r="154" spans="17:17" x14ac:dyDescent="0.25">
      <c r="Q154" s="2">
        <v>-0.51</v>
      </c>
    </row>
    <row r="155" spans="17:17" x14ac:dyDescent="0.25">
      <c r="Q155" s="2">
        <v>-0.52</v>
      </c>
    </row>
    <row r="156" spans="17:17" x14ac:dyDescent="0.25">
      <c r="Q156" s="2">
        <v>-0.53</v>
      </c>
    </row>
    <row r="157" spans="17:17" x14ac:dyDescent="0.25">
      <c r="Q157" s="2">
        <v>-0.54</v>
      </c>
    </row>
    <row r="158" spans="17:17" x14ac:dyDescent="0.25">
      <c r="Q158" s="2">
        <v>-0.55000000000000004</v>
      </c>
    </row>
    <row r="159" spans="17:17" x14ac:dyDescent="0.25">
      <c r="Q159" s="2">
        <v>-0.56000000000000005</v>
      </c>
    </row>
    <row r="160" spans="17:17" x14ac:dyDescent="0.25">
      <c r="Q160" s="2">
        <v>-0.56999999999999995</v>
      </c>
    </row>
    <row r="161" spans="17:17" x14ac:dyDescent="0.25">
      <c r="Q161" s="2">
        <v>-0.57999999999999996</v>
      </c>
    </row>
    <row r="162" spans="17:17" x14ac:dyDescent="0.25">
      <c r="Q162" s="2">
        <v>-0.59</v>
      </c>
    </row>
    <row r="163" spans="17:17" x14ac:dyDescent="0.25">
      <c r="Q163" s="2">
        <v>-0.6</v>
      </c>
    </row>
    <row r="164" spans="17:17" x14ac:dyDescent="0.25">
      <c r="Q164" s="2">
        <v>-0.61</v>
      </c>
    </row>
    <row r="165" spans="17:17" x14ac:dyDescent="0.25">
      <c r="Q165" s="2">
        <v>-0.62</v>
      </c>
    </row>
    <row r="166" spans="17:17" x14ac:dyDescent="0.25">
      <c r="Q166" s="2">
        <v>-0.63</v>
      </c>
    </row>
    <row r="167" spans="17:17" x14ac:dyDescent="0.25">
      <c r="Q167" s="2">
        <v>-0.64</v>
      </c>
    </row>
    <row r="168" spans="17:17" x14ac:dyDescent="0.25">
      <c r="Q168" s="2">
        <v>-0.65</v>
      </c>
    </row>
    <row r="169" spans="17:17" x14ac:dyDescent="0.25">
      <c r="Q169" s="2">
        <v>-0.66</v>
      </c>
    </row>
    <row r="170" spans="17:17" x14ac:dyDescent="0.25">
      <c r="Q170" s="2">
        <v>-0.67</v>
      </c>
    </row>
    <row r="171" spans="17:17" x14ac:dyDescent="0.25">
      <c r="Q171" s="2">
        <v>-0.68</v>
      </c>
    </row>
    <row r="172" spans="17:17" x14ac:dyDescent="0.25">
      <c r="Q172" s="2">
        <v>-0.69</v>
      </c>
    </row>
    <row r="173" spans="17:17" x14ac:dyDescent="0.25">
      <c r="Q173" s="2">
        <v>-0.7</v>
      </c>
    </row>
    <row r="174" spans="17:17" x14ac:dyDescent="0.25">
      <c r="Q174" s="2">
        <v>-0.71</v>
      </c>
    </row>
    <row r="175" spans="17:17" x14ac:dyDescent="0.25">
      <c r="Q175" s="2">
        <v>-0.72</v>
      </c>
    </row>
    <row r="176" spans="17:17" x14ac:dyDescent="0.25">
      <c r="Q176" s="2">
        <v>-0.73</v>
      </c>
    </row>
    <row r="177" spans="17:17" x14ac:dyDescent="0.25">
      <c r="Q177" s="2">
        <v>-0.74</v>
      </c>
    </row>
    <row r="178" spans="17:17" x14ac:dyDescent="0.25">
      <c r="Q178" s="2">
        <v>-0.75</v>
      </c>
    </row>
    <row r="179" spans="17:17" x14ac:dyDescent="0.25">
      <c r="Q179" s="2">
        <v>-0.76</v>
      </c>
    </row>
    <row r="180" spans="17:17" x14ac:dyDescent="0.25">
      <c r="Q180" s="2">
        <v>-0.77</v>
      </c>
    </row>
    <row r="181" spans="17:17" x14ac:dyDescent="0.25">
      <c r="Q181" s="2">
        <v>-0.78</v>
      </c>
    </row>
    <row r="182" spans="17:17" x14ac:dyDescent="0.25">
      <c r="Q182" s="2">
        <v>-0.79</v>
      </c>
    </row>
    <row r="183" spans="17:17" x14ac:dyDescent="0.25">
      <c r="Q183" s="2">
        <v>-0.8</v>
      </c>
    </row>
    <row r="184" spans="17:17" x14ac:dyDescent="0.25">
      <c r="Q184" s="2">
        <v>-0.81</v>
      </c>
    </row>
    <row r="185" spans="17:17" x14ac:dyDescent="0.25">
      <c r="Q185" s="2">
        <v>-0.82</v>
      </c>
    </row>
    <row r="186" spans="17:17" x14ac:dyDescent="0.25">
      <c r="Q186" s="2">
        <v>-0.83</v>
      </c>
    </row>
    <row r="187" spans="17:17" x14ac:dyDescent="0.25">
      <c r="Q187" s="2">
        <v>-0.84</v>
      </c>
    </row>
    <row r="188" spans="17:17" x14ac:dyDescent="0.25">
      <c r="Q188" s="2">
        <v>-0.85</v>
      </c>
    </row>
    <row r="189" spans="17:17" x14ac:dyDescent="0.25">
      <c r="Q189" s="2">
        <v>-0.86</v>
      </c>
    </row>
    <row r="190" spans="17:17" x14ac:dyDescent="0.25">
      <c r="Q190" s="2">
        <v>-0.87</v>
      </c>
    </row>
    <row r="191" spans="17:17" x14ac:dyDescent="0.25">
      <c r="Q191" s="2">
        <v>-0.88</v>
      </c>
    </row>
    <row r="192" spans="17:17" x14ac:dyDescent="0.25">
      <c r="Q192" s="2">
        <v>-0.89</v>
      </c>
    </row>
    <row r="193" spans="17:17" x14ac:dyDescent="0.25">
      <c r="Q193" s="2">
        <v>-0.9</v>
      </c>
    </row>
    <row r="194" spans="17:17" x14ac:dyDescent="0.25">
      <c r="Q194" s="2">
        <v>-0.91</v>
      </c>
    </row>
    <row r="195" spans="17:17" x14ac:dyDescent="0.25">
      <c r="Q195" s="2">
        <v>-0.92</v>
      </c>
    </row>
    <row r="196" spans="17:17" x14ac:dyDescent="0.25">
      <c r="Q196" s="2">
        <v>-0.93</v>
      </c>
    </row>
    <row r="197" spans="17:17" x14ac:dyDescent="0.25">
      <c r="Q197" s="2">
        <v>-0.94</v>
      </c>
    </row>
    <row r="198" spans="17:17" x14ac:dyDescent="0.25">
      <c r="Q198" s="2">
        <v>-0.95</v>
      </c>
    </row>
    <row r="199" spans="17:17" x14ac:dyDescent="0.25">
      <c r="Q199" s="2">
        <v>-0.96</v>
      </c>
    </row>
    <row r="200" spans="17:17" x14ac:dyDescent="0.25">
      <c r="Q200" s="2">
        <v>-0.97</v>
      </c>
    </row>
    <row r="201" spans="17:17" x14ac:dyDescent="0.25">
      <c r="Q201" s="2">
        <v>-0.98</v>
      </c>
    </row>
    <row r="202" spans="17:17" x14ac:dyDescent="0.25">
      <c r="Q202" s="2">
        <v>-0.99</v>
      </c>
    </row>
    <row r="203" spans="17:17" x14ac:dyDescent="0.25">
      <c r="Q203" s="2">
        <v>-1</v>
      </c>
    </row>
  </sheetData>
  <phoneticPr fontId="1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Redux v0.4</vt:lpstr>
      <vt:lpstr>Gearing v0.1</vt:lpstr>
      <vt:lpstr>CALC</vt:lpstr>
      <vt:lpstr>DATA</vt:lpstr>
      <vt:lpstr>Gearing DataCalc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Meyer</dc:creator>
  <cp:lastModifiedBy>Tim Meyer</cp:lastModifiedBy>
  <dcterms:created xsi:type="dcterms:W3CDTF">2026-09-19T08:54:03Z</dcterms:created>
  <dcterms:modified xsi:type="dcterms:W3CDTF">2026-10-22T09:59:47Z</dcterms:modified>
</cp:coreProperties>
</file>