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807D56AE-D71B-416A-9075-407AFFAE41FF}" xr6:coauthVersionLast="47" xr6:coauthVersionMax="47" xr10:uidLastSave="{00000000-0000-0000-0000-000000000000}"/>
  <bookViews>
    <workbookView xWindow="3480" yWindow="2205" windowWidth="37425" windowHeight="11730" xr2:uid="{5C2A3C15-C71C-4602-A0C2-E59566995DB2}"/>
  </bookViews>
  <sheets>
    <sheet name="v0.9.2c"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8" i="2" l="1"/>
  <c r="S14" i="2"/>
  <c r="Y12" i="1" l="1"/>
  <c r="Y11" i="1"/>
  <c r="O19" i="2"/>
  <c r="O20" i="2" s="1"/>
  <c r="AE20" i="2"/>
  <c r="AE21" i="2"/>
  <c r="AE7" i="2"/>
  <c r="AE6" i="2"/>
  <c r="AF24" i="2" s="1"/>
  <c r="AE25" i="2"/>
  <c r="K14" i="3"/>
  <c r="AE17" i="2" s="1"/>
  <c r="J14" i="3"/>
  <c r="J16" i="3" s="1"/>
  <c r="G23" i="2" s="1"/>
  <c r="O41" i="2"/>
  <c r="S38" i="2"/>
  <c r="AE24" i="2"/>
  <c r="W33" i="2"/>
  <c r="O34" i="2"/>
  <c r="O36" i="2" s="1"/>
  <c r="O30" i="2"/>
  <c r="O31" i="2" s="1"/>
  <c r="O32" i="2" s="1"/>
  <c r="O22" i="2"/>
  <c r="O26" i="2"/>
  <c r="S30" i="2"/>
  <c r="S31" i="2" s="1"/>
  <c r="S32" i="2" s="1"/>
  <c r="S34" i="2"/>
  <c r="S36" i="2" s="1"/>
  <c r="S26" i="2"/>
  <c r="S22" i="2"/>
  <c r="W31" i="2"/>
  <c r="O12" i="1"/>
  <c r="W9" i="2"/>
  <c r="AE28" i="2"/>
  <c r="AE29" i="2"/>
  <c r="AF36" i="2" l="1"/>
  <c r="AF40" i="2" s="1"/>
  <c r="AN8" i="1" s="1"/>
  <c r="AN7" i="1"/>
  <c r="AE36" i="2"/>
  <c r="AE37" i="2"/>
  <c r="AF25" i="2"/>
  <c r="AE18" i="2"/>
  <c r="AE11" i="2"/>
  <c r="AE12" i="2"/>
  <c r="AE41" i="2"/>
  <c r="AE40" i="2"/>
  <c r="O35" i="2"/>
  <c r="S35" i="2"/>
  <c r="K14" i="2"/>
  <c r="O11" i="1" s="1"/>
  <c r="K18" i="2"/>
  <c r="K7" i="2"/>
  <c r="K6" i="2"/>
  <c r="S23" i="2"/>
  <c r="O23" i="2"/>
  <c r="S28" i="2"/>
  <c r="S27" i="2"/>
  <c r="O27" i="2"/>
  <c r="O28" i="2"/>
  <c r="C11" i="2"/>
  <c r="C4" i="2"/>
  <c r="G21" i="2" s="1"/>
  <c r="C21" i="2"/>
  <c r="C16" i="2"/>
  <c r="C17" i="2" s="1"/>
  <c r="C19" i="2" s="1"/>
  <c r="O10" i="2" s="1"/>
  <c r="C23" i="2" l="1"/>
  <c r="G18" i="2"/>
  <c r="G6" i="2"/>
  <c r="O24" i="2"/>
  <c r="S24" i="2"/>
  <c r="C13" i="2"/>
  <c r="O6" i="2" s="1"/>
  <c r="K11" i="2"/>
  <c r="O8" i="1" s="1"/>
  <c r="K10" i="2"/>
  <c r="O7" i="1" s="1"/>
  <c r="K21" i="2"/>
  <c r="O15" i="1" s="1"/>
  <c r="AA6" i="2"/>
  <c r="AA7" i="2"/>
  <c r="C12" i="2"/>
  <c r="S6" i="2"/>
  <c r="G22" i="2" s="1"/>
  <c r="C22" i="2"/>
  <c r="C18" i="2"/>
  <c r="C8" i="2"/>
  <c r="G26" i="2" l="1"/>
  <c r="AE14" i="2"/>
  <c r="O12" i="2"/>
  <c r="G19" i="2"/>
  <c r="G27" i="2" s="1"/>
  <c r="G7" i="2"/>
  <c r="W29" i="2"/>
  <c r="W30" i="2" s="1"/>
  <c r="G9" i="2"/>
  <c r="G10" i="2" s="1"/>
  <c r="AA11" i="2"/>
  <c r="AA9" i="2"/>
  <c r="AA10" i="2"/>
  <c r="AE31" i="2"/>
  <c r="AE15" i="2"/>
  <c r="AF37" i="2" s="1"/>
  <c r="C14" i="2"/>
  <c r="O7" i="2" s="1"/>
  <c r="S8" i="2"/>
  <c r="S10" i="2"/>
  <c r="C24" i="2"/>
  <c r="O9" i="2"/>
  <c r="S11" i="2"/>
  <c r="S7" i="2"/>
  <c r="O15" i="2" l="1"/>
  <c r="O38" i="2" s="1"/>
  <c r="O43" i="2" s="1"/>
  <c r="T7" i="1" s="1"/>
  <c r="O13" i="2"/>
  <c r="J8" i="1"/>
  <c r="J7" i="1"/>
  <c r="S15" i="2"/>
  <c r="S19" i="2" s="1"/>
  <c r="S40" i="2" s="1"/>
  <c r="Y7" i="1" s="1"/>
  <c r="AN11" i="1"/>
  <c r="AI7" i="1"/>
  <c r="G14" i="2"/>
  <c r="G13" i="2"/>
  <c r="O16" i="2"/>
  <c r="O39" i="2" s="1"/>
  <c r="O44" i="2" s="1"/>
  <c r="T8" i="1" s="1"/>
  <c r="AE32" i="2"/>
  <c r="S16" i="2"/>
  <c r="S20" i="2" s="1"/>
  <c r="S41" i="2" s="1"/>
  <c r="AF41" i="2" l="1"/>
  <c r="AN12" i="1" s="1"/>
  <c r="W12" i="2"/>
  <c r="W16" i="2" s="1"/>
  <c r="W21" i="2" s="1"/>
  <c r="W26" i="2"/>
  <c r="W36" i="2" s="1"/>
  <c r="AD7" i="1" s="1"/>
  <c r="AN15" i="1"/>
  <c r="AE43" i="2"/>
  <c r="W27" i="2"/>
  <c r="W13" i="2"/>
  <c r="W17" i="2" s="1"/>
  <c r="W41" i="2" l="1"/>
  <c r="AD11" i="1" s="1"/>
  <c r="W37" i="2"/>
  <c r="AD8" i="1" s="1"/>
  <c r="Y8" i="1"/>
  <c r="W22" i="2"/>
  <c r="W42" i="2" l="1"/>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<sst xmlns="http://schemas.openxmlformats.org/spreadsheetml/2006/main" count="284" uniqueCount="128">
  <si>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</si>
  <si>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</si>
  <si>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</si>
  <si>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</si>
  <si>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</si>
  <si>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</si>
  <si>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</si>
  <si>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</si>
  <si>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</si>
  <si>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</si>
  <si>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</si>
  <si>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</si>
  <si>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</si>
  <si>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</si>
  <si>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</si>
  <si>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</si>
  <si>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</si>
  <si>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</si>
  <si>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</si>
  <si>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</si>
  <si>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</si>
  <si>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</si>
  <si>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</si>
  <si>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</si>
  <si>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</si>
  <si>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</si>
  <si>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</si>
  <si>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</si>
  <si>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</si>
  <si>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</si>
  <si>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</si>
  <si>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</si>
  <si>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</si>
  <si>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</si>
  <si>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</si>
  <si>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</si>
  <si>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</si>
  <si>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</si>
  <si>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</si>
  <si>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</si>
  <si>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</si>
  <si>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</si>
  <si>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</si>
  <si>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</si>
  <si>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</si>
  <si>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</si>
  <si>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</si>
  <si>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</si>
  <si>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</si>
  <si>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</si>
  <si>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</si>
  <si>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</si>
  <si>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</si>
  <si>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</si>
  <si>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</si>
  <si>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</si>
  <si>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</si>
  <si>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</si>
  <si>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</si>
  <si>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</si>
  <si>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</si>
  <si>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</si>
  <si>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</si>
  <si>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</si>
  <si>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</si>
  <si>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</si>
  <si>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</si>
  <si>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</si>
  <si>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Default</t>
  </si>
  <si>
    <t>Offset%</t>
  </si>
  <si>
    <t>Härte%</t>
  </si>
  <si>
    <t>Gewicht in KG</t>
  </si>
  <si>
    <t>Federrate</t>
  </si>
  <si>
    <t>Wert Max</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</si>
  <si>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</si>
  <si>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</si>
  <si>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</si>
  <si>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</si>
  <si>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</si>
  <si>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</si>
  <si>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</si>
  <si>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</si>
  <si>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</si>
  <si>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</si>
  <si>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</si>
  <si>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</si>
  <si>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</si>
  <si>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</si>
  <si>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</si>
  <si>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</si>
  <si>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</si>
  <si>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</si>
  <si>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</si>
  <si>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</si>
  <si>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</si>
  <si>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</si>
  <si>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</si>
  <si>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</si>
  <si>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</si>
  <si>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</si>
  <si>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</si>
  <si>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Mid</t>
  </si>
  <si>
    <t>Back</t>
  </si>
  <si>
    <t>KGF/MM</t>
  </si>
  <si>
    <t>Untergrund</t>
  </si>
  <si>
    <t>Bar</t>
  </si>
  <si>
    <t>FRONT</t>
  </si>
  <si>
    <t>MID</t>
  </si>
  <si>
    <t>REAR</t>
  </si>
  <si>
    <t>BALANCED</t>
  </si>
  <si>
    <t>DYNAMIK</t>
  </si>
  <si>
    <t>SPORT</t>
  </si>
  <si>
    <t>RACE</t>
  </si>
  <si>
    <t>Fahrmodus</t>
  </si>
  <si>
    <t>ASPHALT</t>
  </si>
  <si>
    <t>DIRT</t>
  </si>
  <si>
    <t>OFFROAD</t>
  </si>
  <si>
    <t>Grip</t>
  </si>
  <si>
    <t>Standard</t>
  </si>
  <si>
    <t>Reifenmischung -</t>
  </si>
  <si>
    <t>Reifenmischung +</t>
  </si>
  <si>
    <t>Antrieb</t>
  </si>
  <si>
    <t>Sperre%</t>
  </si>
  <si>
    <t>Aero Balance Heck%</t>
  </si>
  <si>
    <t>Druck Max</t>
  </si>
  <si>
    <t>Multi</t>
  </si>
  <si>
    <t>WERT</t>
  </si>
  <si>
    <t>v0.9.2c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</si>
</sst>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
    <numFmt numFmtId="166" formatCode="0.0000"/>
    <numFmt numFmtId="167" formatCode="0.00000"/>
    <numFmt numFmtId="168" formatCode="0.0\ &quot;KGF/MM&quot;"/>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strike/>
      <sz val="11"/>
      <color theme="1"/>
      <name val="Calibri"/>
      <family val="2"/>
      <scheme val="minor"/>
    </font>
    <font>
      <b/>
      <sz val="18"/>
      <color indexed="9"/>
      <name val="Akzidenz Grotesk BE Ex"/>
      <family val="2"/>
    </font>
    <font>
      <b/>
      <sz val="18"/>
      <color indexed="9"/>
      <name val="Calibri Light"/>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8">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67" fontId="0" fillId="0" borderId="0" xfId="0" applyNumberFormat="1"/>
    <xf numFmtId="2" fontId="0" fillId="2" borderId="0" xfId="0" applyNumberFormat="1" applyFill="1"/>
    <xf numFmtId="1" fontId="5" fillId="0" borderId="1" xfId="0" applyNumberFormat="1" applyFont="1" applyBorder="1" applyAlignment="1">
      <alignment horizontal="right" vertical="center"/>
    </xf>
    <xf numFmtId="0" fontId="10" fillId="0" borderId="0" xfId="0" applyFont="1"/>
    <xf numFmtId="0" fontId="11" fillId="0" borderId="0" xfId="0" applyFont="1"/>
    <xf numFmtId="2" fontId="11" fillId="0" borderId="0" xfId="0" applyNumberFormat="1" applyFont="1"/>
    <xf numFmtId="164" fontId="11" fillId="2" borderId="0" xfId="0" applyNumberFormat="1" applyFont="1" applyFill="1"/>
    <xf numFmtId="0" fontId="5" fillId="0" borderId="1" xfId="0" applyFont="1" applyBorder="1" applyAlignment="1">
      <alignment horizontal="center" vertical="center"/>
    </xf>
    <xf numFmtId="0" fontId="3" fillId="0" borderId="0" xfId="0" applyFont="1" applyAlignment="1">
      <alignment horizontal="left" vertical="center"/>
    </xf>
    <xf numFmtId="168"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0" borderId="0" xfId="0" applyNumberFormat="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C24" sqref="C24"/>
    </sheetView>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54"/>
      <c r="D2" s="55"/>
      <c r="E2" s="55"/>
      <c r="F2" s="55"/>
      <c r="G2" s="55"/>
      <c r="H2" s="56"/>
      <c r="I2" s="55"/>
      <c r="J2" s="55"/>
      <c r="K2" s="55"/>
      <c r="L2" s="57"/>
      <c r="M2" s="58"/>
      <c r="N2" s="55"/>
      <c r="O2" s="55"/>
      <c r="P2" s="55"/>
      <c r="Q2" s="57"/>
      <c r="R2" s="58"/>
      <c r="S2" s="55"/>
      <c r="T2" s="55"/>
      <c r="U2" s="55"/>
      <c r="V2" s="57"/>
      <c r="W2" s="58"/>
      <c r="X2" s="55"/>
      <c r="Y2" s="55"/>
      <c r="Z2" s="55"/>
      <c r="AA2" s="57"/>
      <c r="AB2" s="58"/>
      <c r="AC2" s="55"/>
      <c r="AD2" s="55"/>
      <c r="AE2" s="55"/>
      <c r="AF2" s="57"/>
      <c r="AG2" s="59"/>
      <c r="AH2" s="55"/>
      <c r="AI2" s="55"/>
      <c r="AJ2" s="55"/>
      <c r="AK2" s="57"/>
      <c r="AL2" s="59"/>
      <c r="AM2" s="55"/>
      <c r="AN2" s="55"/>
      <c r="AO2" s="60"/>
    </row>
    <row r="3" spans="3:41" s="16" customFormat="1" ht="35.1" customHeight="1" x14ac:dyDescent="0.25">
      <c r="C3" s="61"/>
      <c r="D3" s="84"/>
      <c r="E3" s="84"/>
      <c r="I3" s="84"/>
      <c r="J3" s="84"/>
      <c r="N3" s="84"/>
      <c r="O3" s="84"/>
      <c r="S3" s="84"/>
      <c r="T3" s="84"/>
      <c r="X3" s="84"/>
      <c r="Y3" s="84"/>
      <c r="AC3" s="84"/>
      <c r="AD3" s="84"/>
      <c r="AH3" s="84"/>
      <c r="AI3" s="84"/>
      <c r="AM3" s="84"/>
      <c r="AN3" s="84"/>
      <c r="AO3" s="62"/>
    </row>
    <row r="4" spans="3:41" ht="25.5" x14ac:dyDescent="0.25">
      <c r="C4" s="63"/>
      <c r="D4" s="64"/>
      <c r="E4" s="65" t="s">
        <v>99</v>
      </c>
      <c r="H4"/>
      <c r="I4" s="65"/>
      <c r="J4" s="65" t="s">
        <v>99</v>
      </c>
      <c r="L4"/>
      <c r="M4"/>
      <c r="N4" s="64"/>
      <c r="O4" s="65" t="s">
        <v>99</v>
      </c>
      <c r="Q4"/>
      <c r="R4"/>
      <c r="S4" s="64"/>
      <c r="T4" s="65" t="s">
        <v>99</v>
      </c>
      <c r="V4"/>
      <c r="W4"/>
      <c r="X4" s="64"/>
      <c r="Y4" s="65" t="s">
        <v>99</v>
      </c>
      <c r="AA4"/>
      <c r="AB4"/>
      <c r="AC4" s="64"/>
      <c r="AD4" s="65" t="s">
        <v>99</v>
      </c>
      <c r="AF4"/>
      <c r="AG4"/>
      <c r="AH4" s="64"/>
      <c r="AI4" s="65" t="s">
        <v>99</v>
      </c>
      <c r="AK4"/>
      <c r="AL4"/>
      <c r="AM4" s="64"/>
      <c r="AN4" s="65" t="s">
        <v>99</v>
      </c>
      <c r="AO4" s="66"/>
    </row>
    <row r="5" spans="3:41" ht="6.95" customHeight="1" x14ac:dyDescent="0.25">
      <c r="C5" s="63"/>
      <c r="E5" s="19"/>
      <c r="H5"/>
      <c r="J5" s="19"/>
      <c r="L5"/>
      <c r="M5"/>
      <c r="N5" s="17"/>
      <c r="O5" s="18"/>
      <c r="Q5"/>
      <c r="R5"/>
      <c r="S5" s="17"/>
      <c r="T5" s="18"/>
      <c r="V5"/>
      <c r="W5"/>
      <c r="X5" s="17"/>
      <c r="Y5" s="18"/>
      <c r="AA5"/>
      <c r="AB5"/>
      <c r="AC5" s="17"/>
      <c r="AD5" s="18"/>
      <c r="AF5"/>
      <c r="AG5"/>
      <c r="AH5" s="17"/>
      <c r="AI5" s="20"/>
      <c r="AK5"/>
      <c r="AL5"/>
      <c r="AM5" s="17"/>
      <c r="AN5" s="20"/>
      <c r="AO5" s="66"/>
    </row>
    <row r="6" spans="3:41" s="12" customFormat="1" ht="18" customHeight="1" x14ac:dyDescent="0.25">
      <c r="C6" s="67"/>
      <c r="D6" s="50" t="s">
        <v>71</v>
      </c>
      <c r="E6" s="51">
        <v>1000</v>
      </c>
      <c r="F6" s="68"/>
      <c r="G6" s="68"/>
      <c r="H6" s="68"/>
      <c r="I6" s="44" t="s">
        <v>40</v>
      </c>
      <c r="J6" s="48" t="s">
        <v>105</v>
      </c>
      <c r="N6" s="44" t="s">
        <v>86</v>
      </c>
      <c r="O6" s="45"/>
      <c r="P6" s="68"/>
      <c r="Q6" s="68"/>
      <c r="R6" s="68"/>
      <c r="S6" s="43" t="s">
        <v>88</v>
      </c>
      <c r="T6" s="22"/>
      <c r="U6" s="68"/>
      <c r="V6" s="68"/>
      <c r="W6" s="68"/>
      <c r="X6" s="44" t="s">
        <v>8</v>
      </c>
      <c r="Y6" s="45" t="s">
        <v>103</v>
      </c>
      <c r="Z6" s="68"/>
      <c r="AA6" s="68"/>
      <c r="AB6" s="68"/>
      <c r="AC6" s="44" t="s">
        <v>89</v>
      </c>
      <c r="AD6" s="45"/>
      <c r="AE6" s="68"/>
      <c r="AF6" s="68"/>
      <c r="AG6" s="68"/>
      <c r="AH6" s="44" t="s">
        <v>65</v>
      </c>
      <c r="AI6" s="48"/>
      <c r="AJ6" s="68"/>
      <c r="AK6" s="68"/>
      <c r="AL6" s="68"/>
      <c r="AM6" s="44" t="s">
        <v>58</v>
      </c>
      <c r="AN6" s="48"/>
      <c r="AO6" s="69"/>
    </row>
    <row r="7" spans="3:41" s="12" customFormat="1" ht="18" customHeight="1" x14ac:dyDescent="0.25">
      <c r="C7" s="67"/>
      <c r="D7" s="50" t="s">
        <v>1</v>
      </c>
      <c r="E7" s="51">
        <v>50</v>
      </c>
      <c r="F7" s="68"/>
      <c r="G7" s="68"/>
      <c r="H7" s="68"/>
      <c r="I7" s="43" t="s">
        <v>58</v>
      </c>
      <c r="J7" s="78">
        <f>CALC!G26</f>
        <v>1.6720452000000001</v>
      </c>
      <c r="K7" s="68"/>
      <c r="L7" s="68"/>
      <c r="M7" s="68"/>
      <c r="N7" s="43" t="s">
        <v>58</v>
      </c>
      <c r="O7" s="22">
        <f>CALC!K10*-1</f>
        <v>-1</v>
      </c>
      <c r="P7" s="68"/>
      <c r="Q7" s="68"/>
      <c r="R7" s="68"/>
      <c r="S7" s="46" t="s">
        <v>58</v>
      </c>
      <c r="T7" s="47">
        <f>CALC!O43</f>
        <v>25.898879999999998</v>
      </c>
      <c r="U7" s="68"/>
      <c r="V7" s="68"/>
      <c r="W7" s="68"/>
      <c r="X7" s="43" t="s">
        <v>58</v>
      </c>
      <c r="Y7" s="22">
        <f>CALC!S40</f>
        <v>80.253464032980006</v>
      </c>
      <c r="Z7" s="68"/>
      <c r="AA7" s="68"/>
      <c r="AB7" s="68"/>
      <c r="AC7" s="43" t="s">
        <v>58</v>
      </c>
      <c r="AD7" s="22">
        <f>CALC!W36</f>
        <v>9.4730559505595995</v>
      </c>
      <c r="AE7" s="68"/>
      <c r="AF7" s="68"/>
      <c r="AG7" s="68"/>
      <c r="AH7" s="43" t="s">
        <v>26</v>
      </c>
      <c r="AI7" s="23">
        <f>IF(AI14="Front",CALC!AA9,IF(AI14="Mid",CALC!AA10,CALC!AA11))</f>
        <v>53</v>
      </c>
      <c r="AJ7" s="49"/>
      <c r="AK7" s="49"/>
      <c r="AL7" s="68"/>
      <c r="AM7" s="43" t="s">
        <v>91</v>
      </c>
      <c r="AN7" s="23" t="str">
        <f>IF(E12="RWD","–",IF(E12="AWD",CALC!AF36,CALC!AF36))</f>
        <v>–</v>
      </c>
      <c r="AO7" s="69"/>
    </row>
    <row r="8" spans="3:41" s="12" customFormat="1" ht="18" customHeight="1" x14ac:dyDescent="0.25">
      <c r="C8" s="67"/>
      <c r="D8" s="50" t="s">
        <v>3</v>
      </c>
      <c r="E8" s="51">
        <v>245</v>
      </c>
      <c r="F8" s="68"/>
      <c r="G8" s="68"/>
      <c r="H8" s="68"/>
      <c r="I8" s="43" t="s">
        <v>59</v>
      </c>
      <c r="J8" s="78">
        <f>CALC!G27</f>
        <v>1.6720452000000001</v>
      </c>
      <c r="N8" s="43" t="s">
        <v>59</v>
      </c>
      <c r="O8" s="22">
        <f>CALC!K11*-1</f>
        <v>-1.1000000000000001</v>
      </c>
      <c r="P8" s="68"/>
      <c r="Q8" s="68"/>
      <c r="R8" s="68"/>
      <c r="S8" s="43" t="s">
        <v>59</v>
      </c>
      <c r="T8" s="22">
        <f>CALC!O44</f>
        <v>33.870285491199994</v>
      </c>
      <c r="U8" s="68"/>
      <c r="V8" s="68"/>
      <c r="W8" s="68"/>
      <c r="X8" s="43" t="s">
        <v>59</v>
      </c>
      <c r="Y8" s="22">
        <f>CALC!S41</f>
        <v>82.367537047019994</v>
      </c>
      <c r="Z8" s="68"/>
      <c r="AA8" s="68"/>
      <c r="AB8" s="68"/>
      <c r="AC8" s="43" t="s">
        <v>59</v>
      </c>
      <c r="AD8" s="22">
        <f>CALC!W37</f>
        <v>9.7225994710403985</v>
      </c>
      <c r="AE8" s="68"/>
      <c r="AF8" s="68"/>
      <c r="AG8" s="68"/>
      <c r="AL8" s="68"/>
      <c r="AM8" s="43" t="s">
        <v>66</v>
      </c>
      <c r="AN8" s="23" t="str">
        <f>IF(E12="RWD","–",IF(E12="AWD",CALC!AF40,CALC!AF40))</f>
        <v>–</v>
      </c>
      <c r="AO8" s="69"/>
    </row>
    <row r="9" spans="3:41" s="12" customFormat="1" ht="18" customHeight="1" x14ac:dyDescent="0.25">
      <c r="C9" s="67"/>
      <c r="D9" s="50" t="s">
        <v>2</v>
      </c>
      <c r="E9" s="51">
        <v>245</v>
      </c>
      <c r="F9" s="68"/>
      <c r="G9" s="68"/>
      <c r="H9" s="68"/>
      <c r="I9" s="43"/>
      <c r="J9" s="21"/>
      <c r="K9" s="68"/>
      <c r="L9" s="68"/>
      <c r="M9" s="68"/>
      <c r="N9" s="43"/>
      <c r="O9" s="22"/>
      <c r="P9" s="68"/>
      <c r="Q9" s="68"/>
      <c r="R9" s="68"/>
      <c r="S9" s="43"/>
      <c r="T9" s="22"/>
      <c r="U9" s="68"/>
      <c r="V9" s="68"/>
      <c r="W9" s="68"/>
      <c r="X9" s="43"/>
      <c r="Y9" s="22"/>
      <c r="Z9" s="68"/>
      <c r="AA9" s="68"/>
      <c r="AB9" s="68"/>
      <c r="AC9" s="43"/>
      <c r="AD9" s="22"/>
      <c r="AE9" s="68"/>
      <c r="AF9" s="68"/>
      <c r="AG9" s="68"/>
      <c r="AH9" s="43"/>
      <c r="AI9" s="23"/>
      <c r="AJ9" s="68"/>
      <c r="AK9" s="68"/>
      <c r="AL9" s="68"/>
      <c r="AM9" s="43"/>
      <c r="AN9" s="21"/>
      <c r="AO9" s="69"/>
    </row>
    <row r="10" spans="3:41" s="12" customFormat="1" ht="18" customHeight="1" x14ac:dyDescent="0.25">
      <c r="C10" s="67"/>
      <c r="D10" s="50" t="s">
        <v>4</v>
      </c>
      <c r="E10" s="52">
        <v>0.37</v>
      </c>
      <c r="F10" s="68"/>
      <c r="G10" s="68"/>
      <c r="H10" s="68"/>
      <c r="I10" s="53" t="s">
        <v>39</v>
      </c>
      <c r="J10" s="39" t="s">
        <v>118</v>
      </c>
      <c r="K10" s="83" t="s">
        <v>93</v>
      </c>
      <c r="L10" s="83"/>
      <c r="M10" s="70"/>
      <c r="N10" s="44" t="s">
        <v>34</v>
      </c>
      <c r="O10" s="45"/>
      <c r="P10" s="68"/>
      <c r="Q10" s="68"/>
      <c r="R10" s="68"/>
      <c r="S10" s="43"/>
      <c r="T10" s="22"/>
      <c r="U10" s="68"/>
      <c r="V10" s="68"/>
      <c r="W10" s="68"/>
      <c r="X10" s="44" t="s">
        <v>62</v>
      </c>
      <c r="Y10" s="45"/>
      <c r="Z10" s="68"/>
      <c r="AA10" s="68"/>
      <c r="AB10" s="68"/>
      <c r="AC10" s="44" t="s">
        <v>90</v>
      </c>
      <c r="AD10" s="45"/>
      <c r="AE10" s="68"/>
      <c r="AF10" s="68"/>
      <c r="AG10" s="68"/>
      <c r="AH10" s="44" t="s">
        <v>65</v>
      </c>
      <c r="AI10" s="48"/>
      <c r="AJ10" s="68"/>
      <c r="AK10" s="68"/>
      <c r="AL10" s="68"/>
      <c r="AM10" s="44" t="s">
        <v>59</v>
      </c>
      <c r="AN10" s="48"/>
      <c r="AO10" s="69"/>
    </row>
    <row r="11" spans="3:41" s="12" customFormat="1" ht="18" customHeight="1" x14ac:dyDescent="0.25">
      <c r="C11" s="67"/>
      <c r="D11" s="43"/>
      <c r="E11" s="21"/>
      <c r="F11" s="68"/>
      <c r="G11" s="68"/>
      <c r="H11" s="68"/>
      <c r="K11" s="68"/>
      <c r="L11" s="68"/>
      <c r="M11" s="68"/>
      <c r="N11" s="43" t="s">
        <v>58</v>
      </c>
      <c r="O11" s="22">
        <f>CALC!K14</f>
        <v>0.13333333333333339</v>
      </c>
      <c r="P11" s="68"/>
      <c r="Q11" s="68"/>
      <c r="R11" s="68"/>
      <c r="S11" s="43"/>
      <c r="T11" s="22"/>
      <c r="U11" s="68"/>
      <c r="V11" s="68"/>
      <c r="W11" s="68"/>
      <c r="X11" s="43" t="s">
        <v>58</v>
      </c>
      <c r="Y11" s="22" t="str">
        <f>IF(E14="Asphalt","Default","MAX")</f>
        <v>Default</v>
      </c>
      <c r="Z11" s="68"/>
      <c r="AA11" s="68"/>
      <c r="AB11" s="68"/>
      <c r="AC11" s="43" t="s">
        <v>58</v>
      </c>
      <c r="AD11" s="22">
        <f>CALC!W41</f>
        <v>4.4523362967630113</v>
      </c>
      <c r="AE11" s="68"/>
      <c r="AF11" s="68"/>
      <c r="AG11" s="68"/>
      <c r="AH11" s="43" t="s">
        <v>57</v>
      </c>
      <c r="AI11" s="21" t="s">
        <v>68</v>
      </c>
      <c r="AJ11" s="68"/>
      <c r="AK11" s="68"/>
      <c r="AL11" s="68"/>
      <c r="AM11" s="43" t="s">
        <v>91</v>
      </c>
      <c r="AN11" s="23">
        <f>IF(E12="RWD",CALC!AF37,IF(E12="AWD",CALC!AF37,"–"))</f>
        <v>80.031687755102027</v>
      </c>
      <c r="AO11" s="69"/>
    </row>
    <row r="12" spans="3:41" s="12" customFormat="1" ht="18" customHeight="1" x14ac:dyDescent="0.25">
      <c r="C12" s="67"/>
      <c r="D12" s="53" t="s">
        <v>82</v>
      </c>
      <c r="E12" s="39" t="s">
        <v>83</v>
      </c>
      <c r="F12" s="83" t="s">
        <v>93</v>
      </c>
      <c r="G12" s="83"/>
      <c r="H12" s="70"/>
      <c r="K12" s="68"/>
      <c r="L12" s="68"/>
      <c r="M12" s="68"/>
      <c r="N12" s="43" t="s">
        <v>59</v>
      </c>
      <c r="O12" s="22">
        <f>CALC!K17</f>
        <v>0</v>
      </c>
      <c r="P12" s="68"/>
      <c r="Q12" s="68"/>
      <c r="R12" s="68"/>
      <c r="S12" s="43"/>
      <c r="T12" s="22"/>
      <c r="U12" s="68"/>
      <c r="V12" s="68"/>
      <c r="W12" s="68"/>
      <c r="X12" s="43" t="s">
        <v>59</v>
      </c>
      <c r="Y12" s="22" t="str">
        <f>IF(E14="Asphalt","Default","MAX")</f>
        <v>Default</v>
      </c>
      <c r="Z12" s="68"/>
      <c r="AA12" s="68"/>
      <c r="AB12" s="68"/>
      <c r="AC12" s="43" t="s">
        <v>59</v>
      </c>
      <c r="AD12" s="22">
        <f>CALC!W42</f>
        <v>4.5696217513889872</v>
      </c>
      <c r="AE12" s="68"/>
      <c r="AF12" s="68"/>
      <c r="AG12" s="68"/>
      <c r="AH12" s="43"/>
      <c r="AI12" s="21"/>
      <c r="AJ12" s="68"/>
      <c r="AK12" s="68"/>
      <c r="AL12" s="68"/>
      <c r="AM12" s="43" t="s">
        <v>66</v>
      </c>
      <c r="AN12" s="23">
        <f>IF(E12="RWD",CALC!AF41,IF(E12="AWD",CALC!AF41,"–"))</f>
        <v>22.408872571428571</v>
      </c>
      <c r="AO12" s="69"/>
    </row>
    <row r="13" spans="3:41" s="12" customFormat="1" ht="18" customHeight="1" x14ac:dyDescent="0.25">
      <c r="C13" s="67"/>
      <c r="D13" s="68"/>
      <c r="E13" s="21"/>
      <c r="F13" s="21"/>
      <c r="G13" s="21"/>
      <c r="H13" s="21"/>
      <c r="K13" s="68"/>
      <c r="L13" s="68"/>
      <c r="M13" s="68"/>
      <c r="N13" s="43"/>
      <c r="O13" s="22"/>
      <c r="P13" s="68"/>
      <c r="Q13" s="68"/>
      <c r="R13" s="68"/>
      <c r="S13" s="43"/>
      <c r="T13" s="22"/>
      <c r="U13" s="68"/>
      <c r="V13" s="68"/>
      <c r="W13" s="68"/>
      <c r="X13" s="43"/>
      <c r="Y13" s="22"/>
      <c r="Z13" s="68"/>
      <c r="AA13" s="68"/>
      <c r="AB13" s="68"/>
      <c r="AC13" s="43"/>
      <c r="AD13" s="22"/>
      <c r="AE13" s="68"/>
      <c r="AF13" s="68"/>
      <c r="AG13" s="68"/>
      <c r="AH13" s="43"/>
      <c r="AI13" s="21"/>
      <c r="AJ13" s="68"/>
      <c r="AK13" s="68"/>
      <c r="AL13" s="68"/>
      <c r="AM13" s="43"/>
      <c r="AN13" s="21"/>
      <c r="AO13" s="69"/>
    </row>
    <row r="14" spans="3:41" s="12" customFormat="1" ht="18" customHeight="1" x14ac:dyDescent="0.25">
      <c r="C14" s="67"/>
      <c r="D14" s="44" t="s">
        <v>104</v>
      </c>
      <c r="E14" s="39" t="s">
        <v>114</v>
      </c>
      <c r="F14" s="83" t="s">
        <v>93</v>
      </c>
      <c r="G14" s="83"/>
      <c r="H14" s="70"/>
      <c r="N14" s="44" t="s">
        <v>87</v>
      </c>
      <c r="O14" s="45"/>
      <c r="P14" s="68"/>
      <c r="Q14" s="68"/>
      <c r="R14" s="68"/>
      <c r="S14" s="53" t="s">
        <v>69</v>
      </c>
      <c r="T14" s="34">
        <v>0</v>
      </c>
      <c r="U14" s="83" t="s">
        <v>93</v>
      </c>
      <c r="V14" s="83"/>
      <c r="W14" s="70"/>
      <c r="X14" s="53" t="s">
        <v>69</v>
      </c>
      <c r="Y14" s="34">
        <v>0</v>
      </c>
      <c r="Z14" s="83" t="s">
        <v>93</v>
      </c>
      <c r="AA14" s="83"/>
      <c r="AB14" s="70"/>
      <c r="AC14" s="43"/>
      <c r="AD14" s="23"/>
      <c r="AE14" s="68"/>
      <c r="AF14" s="68"/>
      <c r="AG14" s="68"/>
      <c r="AH14" s="53" t="s">
        <v>75</v>
      </c>
      <c r="AI14" s="42" t="s">
        <v>106</v>
      </c>
      <c r="AJ14" s="83" t="s">
        <v>93</v>
      </c>
      <c r="AK14" s="83"/>
      <c r="AL14" s="68"/>
      <c r="AM14" s="44" t="s">
        <v>67</v>
      </c>
      <c r="AN14" s="48"/>
      <c r="AO14" s="69"/>
    </row>
    <row r="15" spans="3:41" s="12" customFormat="1" ht="18" customHeight="1" x14ac:dyDescent="0.25">
      <c r="C15" s="67"/>
      <c r="D15" s="68"/>
      <c r="E15" s="21"/>
      <c r="F15" s="68"/>
      <c r="G15" s="68"/>
      <c r="H15" s="68"/>
      <c r="K15" s="68"/>
      <c r="L15" s="68"/>
      <c r="M15" s="68"/>
      <c r="N15" s="43" t="s">
        <v>51</v>
      </c>
      <c r="O15" s="22">
        <f>CALC!K21</f>
        <v>7</v>
      </c>
      <c r="P15" s="68"/>
      <c r="Q15" s="68"/>
      <c r="R15" s="68"/>
      <c r="W15" s="70"/>
      <c r="AB15" s="70"/>
      <c r="AC15" s="43"/>
      <c r="AD15" s="23"/>
      <c r="AE15" s="68"/>
      <c r="AF15" s="68"/>
      <c r="AG15" s="68"/>
      <c r="AH15" s="43"/>
      <c r="AI15" s="21"/>
      <c r="AJ15" s="68"/>
      <c r="AK15" s="68"/>
      <c r="AL15" s="68"/>
      <c r="AM15" s="43" t="s">
        <v>26</v>
      </c>
      <c r="AN15" s="23" t="str">
        <f>IF(E12="AWD",CALC!AE32,"–")</f>
        <v>–</v>
      </c>
      <c r="AO15" s="69"/>
    </row>
    <row r="16" spans="3:41" ht="16.5" customHeight="1" x14ac:dyDescent="0.25">
      <c r="C16" s="63"/>
      <c r="D16" s="53" t="s">
        <v>113</v>
      </c>
      <c r="E16" s="39" t="s">
        <v>109</v>
      </c>
      <c r="F16" s="83" t="s">
        <v>93</v>
      </c>
      <c r="G16" s="83"/>
      <c r="H16" s="24"/>
      <c r="I16" s="24"/>
      <c r="J16" s="25"/>
      <c r="K16" s="24"/>
      <c r="L16" s="24"/>
      <c r="M16" s="24"/>
      <c r="N16" s="26"/>
      <c r="O16" s="22"/>
      <c r="P16" s="24"/>
      <c r="Q16" s="24"/>
      <c r="R16" s="24"/>
      <c r="S16" s="53" t="s">
        <v>70</v>
      </c>
      <c r="T16" s="34">
        <v>0</v>
      </c>
      <c r="U16" s="83" t="s">
        <v>93</v>
      </c>
      <c r="V16" s="83"/>
      <c r="W16" s="24"/>
      <c r="X16" s="53" t="s">
        <v>70</v>
      </c>
      <c r="Y16" s="34">
        <v>0</v>
      </c>
      <c r="Z16" s="83" t="s">
        <v>93</v>
      </c>
      <c r="AA16" s="83"/>
      <c r="AB16" s="24"/>
      <c r="AC16" s="26"/>
      <c r="AD16" s="22"/>
      <c r="AE16" s="24"/>
      <c r="AF16" s="24"/>
      <c r="AG16" s="24"/>
      <c r="AH16" s="26"/>
      <c r="AI16" s="21"/>
      <c r="AJ16" s="24"/>
      <c r="AK16" s="24"/>
      <c r="AL16" s="24"/>
      <c r="AM16" s="26"/>
      <c r="AN16" s="21"/>
      <c r="AO16" s="71"/>
    </row>
    <row r="17" spans="3:41" ht="16.5" x14ac:dyDescent="0.25">
      <c r="C17" s="72"/>
      <c r="D17" s="73"/>
      <c r="E17" s="74"/>
      <c r="F17" s="73"/>
      <c r="G17" s="73"/>
      <c r="H17" s="73"/>
      <c r="I17" s="73"/>
      <c r="J17" s="74"/>
      <c r="K17" s="73"/>
      <c r="L17" s="73"/>
      <c r="M17" s="73"/>
      <c r="N17" s="75"/>
      <c r="O17" s="76"/>
      <c r="P17" s="73"/>
      <c r="Q17" s="73"/>
      <c r="R17" s="73"/>
      <c r="S17" s="75"/>
      <c r="T17" s="45"/>
      <c r="U17" s="73"/>
      <c r="V17" s="73"/>
      <c r="W17" s="73"/>
      <c r="X17" s="75"/>
      <c r="Y17" s="45"/>
      <c r="Z17" s="73"/>
      <c r="AA17" s="73"/>
      <c r="AB17" s="73"/>
      <c r="AC17" s="75"/>
      <c r="AD17" s="45"/>
      <c r="AE17" s="73"/>
      <c r="AF17" s="73"/>
      <c r="AG17" s="73"/>
      <c r="AH17" s="75"/>
      <c r="AI17" s="76"/>
      <c r="AJ17" s="73"/>
      <c r="AK17" s="73"/>
      <c r="AL17" s="73"/>
      <c r="AM17" s="75"/>
      <c r="AN17" s="76"/>
      <c r="AO17" s="77"/>
    </row>
    <row r="18" spans="3:41" ht="16.5" x14ac:dyDescent="0.25">
      <c r="F18" s="24"/>
      <c r="G18" s="24"/>
      <c r="H18" s="24"/>
      <c r="I18" s="24"/>
      <c r="J18" s="25"/>
      <c r="K18" s="24"/>
      <c r="L18" s="24"/>
      <c r="M18" s="24"/>
      <c r="N18" s="26"/>
      <c r="O18" s="23"/>
      <c r="P18" s="24"/>
      <c r="Q18" s="24"/>
      <c r="R18" s="24"/>
      <c r="S18" s="26"/>
      <c r="T18" s="22"/>
      <c r="U18" s="24"/>
      <c r="V18" s="24"/>
      <c r="W18" s="24"/>
      <c r="X18" s="26"/>
      <c r="Y18" s="41"/>
      <c r="Z18" s="24"/>
      <c r="AA18" s="24"/>
      <c r="AB18" s="24"/>
      <c r="AC18" s="26"/>
      <c r="AD18" s="22"/>
      <c r="AE18" s="24"/>
      <c r="AF18" s="24"/>
      <c r="AG18" s="24"/>
      <c r="AH18" s="26"/>
      <c r="AI18" s="23"/>
      <c r="AJ18" s="24"/>
      <c r="AK18" s="24"/>
      <c r="AL18" s="24"/>
      <c r="AM18" s="26"/>
      <c r="AN18" s="23"/>
      <c r="AO18" s="24"/>
    </row>
    <row r="19" spans="3:41" ht="16.5" x14ac:dyDescent="0.25">
      <c r="C19" s="35" t="s">
        <v>100</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5" t="s">
        <v>127</v>
      </c>
      <c r="D20" s="24"/>
      <c r="E20" s="25"/>
      <c r="F20" s="27"/>
      <c r="G20" s="27"/>
      <c r="H20" s="27"/>
      <c r="I20" s="51"/>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AJ14:AK14"/>
    <mergeCell ref="F14:G14"/>
    <mergeCell ref="AH3:AI3"/>
    <mergeCell ref="AM3:AN3"/>
    <mergeCell ref="D3:E3"/>
    <mergeCell ref="I3:J3"/>
    <mergeCell ref="N3:O3"/>
    <mergeCell ref="S3:T3"/>
    <mergeCell ref="X3:Y3"/>
    <mergeCell ref="AC3:AD3"/>
    <mergeCell ref="Z14:AA14"/>
    <mergeCell ref="Z16:AA16"/>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DATA!$M$5:$M$7</xm:f>
          </x14:formula1>
          <xm:sqref>E12</xm:sqref>
        </x14:dataValidation>
        <x14:dataValidation type="list" allowBlank="1" showInputMessage="1" showErrorMessage="1" xr:uid="{705956B6-BF3B-426A-9F5B-DBE5C6C65346}">
          <x14:formula1>
            <xm:f>DATA!$I$5:$I$13</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G60"/>
  <sheetViews>
    <sheetView topLeftCell="A10" workbookViewId="0">
      <selection activeCell="J30" sqref="J30"/>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92</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'v0.9.2c'!E6</f>
        <v>1000</v>
      </c>
      <c r="K4"/>
      <c r="L4"/>
      <c r="W4" s="2"/>
    </row>
    <row r="5" spans="2:31" x14ac:dyDescent="0.25">
      <c r="K5"/>
      <c r="L5"/>
      <c r="W5" s="2"/>
    </row>
    <row r="6" spans="2:31" x14ac:dyDescent="0.25">
      <c r="B6" t="s">
        <v>5</v>
      </c>
      <c r="C6" s="4">
        <v>0.20399999999999999</v>
      </c>
      <c r="F6" t="s">
        <v>9</v>
      </c>
      <c r="G6" s="4">
        <f>C11+1</f>
        <v>1.5</v>
      </c>
      <c r="J6" t="s">
        <v>3</v>
      </c>
      <c r="K6">
        <f>'v0.9.2c'!E8</f>
        <v>245</v>
      </c>
      <c r="L6"/>
      <c r="N6" t="s">
        <v>9</v>
      </c>
      <c r="O6" s="4">
        <f>C13</f>
        <v>1</v>
      </c>
      <c r="R6" t="s">
        <v>17</v>
      </c>
      <c r="S6" s="1">
        <f>C4*C6</f>
        <v>204</v>
      </c>
      <c r="V6" s="36" t="s">
        <v>18</v>
      </c>
      <c r="W6" s="36"/>
      <c r="Z6" t="s">
        <v>3</v>
      </c>
      <c r="AA6" s="4">
        <f>C16</f>
        <v>0.5</v>
      </c>
      <c r="AD6" t="s">
        <v>3</v>
      </c>
      <c r="AE6">
        <f>'v0.9.2c'!E8</f>
        <v>245</v>
      </c>
    </row>
    <row r="7" spans="2:31" x14ac:dyDescent="0.25">
      <c r="B7" t="s">
        <v>6</v>
      </c>
      <c r="C7" s="4">
        <v>4.0599999999999997E-2</v>
      </c>
      <c r="F7" t="s">
        <v>10</v>
      </c>
      <c r="G7" s="4">
        <f>C12+1</f>
        <v>1.5</v>
      </c>
      <c r="J7" t="s">
        <v>2</v>
      </c>
      <c r="K7">
        <f>'v0.9.2c'!E9</f>
        <v>245</v>
      </c>
      <c r="L7"/>
      <c r="N7" t="s">
        <v>10</v>
      </c>
      <c r="O7" s="4">
        <f>C14</f>
        <v>1</v>
      </c>
      <c r="R7" t="s">
        <v>19</v>
      </c>
      <c r="S7" s="1">
        <f>S6*C11</f>
        <v>102</v>
      </c>
      <c r="V7" s="36" t="s">
        <v>73</v>
      </c>
      <c r="W7" s="36">
        <v>20</v>
      </c>
      <c r="Z7" t="s">
        <v>2</v>
      </c>
      <c r="AA7" s="4">
        <f>C17</f>
        <v>0.5</v>
      </c>
      <c r="AD7" t="s">
        <v>2</v>
      </c>
      <c r="AE7">
        <f>'v0.9.2c'!E9</f>
        <v>245</v>
      </c>
    </row>
    <row r="8" spans="2:31" x14ac:dyDescent="0.25">
      <c r="B8" t="s">
        <v>7</v>
      </c>
      <c r="C8" s="4">
        <f>(C6+C7)/2</f>
        <v>0.12229999999999999</v>
      </c>
      <c r="K8"/>
      <c r="L8"/>
      <c r="O8" s="4"/>
      <c r="R8" t="s">
        <v>20</v>
      </c>
      <c r="S8" s="1">
        <f>S6*C12</f>
        <v>102</v>
      </c>
      <c r="V8" s="36" t="s">
        <v>24</v>
      </c>
      <c r="W8" s="36">
        <v>1</v>
      </c>
    </row>
    <row r="9" spans="2:31" x14ac:dyDescent="0.25">
      <c r="B9" t="s">
        <v>11</v>
      </c>
      <c r="C9" s="4">
        <v>0.67300000000000004</v>
      </c>
      <c r="F9" t="s">
        <v>17</v>
      </c>
      <c r="G9" s="32">
        <f>S6/4750+1</f>
        <v>1.0429473684210526</v>
      </c>
      <c r="J9" t="s">
        <v>37</v>
      </c>
      <c r="K9">
        <v>265</v>
      </c>
      <c r="L9"/>
      <c r="N9" t="s">
        <v>3</v>
      </c>
      <c r="O9" s="4">
        <f>C18</f>
        <v>1</v>
      </c>
      <c r="V9" s="36" t="s">
        <v>74</v>
      </c>
      <c r="W9" s="36">
        <f>W7*W8</f>
        <v>20</v>
      </c>
      <c r="Z9" t="s">
        <v>58</v>
      </c>
      <c r="AA9" s="14">
        <f>ROUND(AA6/(AA6+AA7),2)*100+3</f>
        <v>53</v>
      </c>
      <c r="AD9" t="s">
        <v>122</v>
      </c>
      <c r="AE9">
        <v>62</v>
      </c>
    </row>
    <row r="10" spans="2:31" x14ac:dyDescent="0.25">
      <c r="F10" t="s">
        <v>94</v>
      </c>
      <c r="G10">
        <f>DATA!J14*G9</f>
        <v>1.0638063157894737</v>
      </c>
      <c r="J10" t="s">
        <v>35</v>
      </c>
      <c r="K10" s="7">
        <f>ROUNDDOWN(K9/K6,1)</f>
        <v>1</v>
      </c>
      <c r="L10"/>
      <c r="N10" t="s">
        <v>2</v>
      </c>
      <c r="O10" s="4">
        <f>C19</f>
        <v>1</v>
      </c>
      <c r="R10" t="s">
        <v>13</v>
      </c>
      <c r="S10" s="2">
        <f>(S6*C11)*C9</f>
        <v>68.646000000000001</v>
      </c>
      <c r="V10" s="36"/>
      <c r="W10" s="36"/>
      <c r="Z10" t="s">
        <v>101</v>
      </c>
      <c r="AA10" s="14">
        <f>ROUND(AA6/(AA6+AA7),2)*100+2</f>
        <v>52</v>
      </c>
    </row>
    <row r="11" spans="2:31" x14ac:dyDescent="0.25">
      <c r="B11" t="s">
        <v>9</v>
      </c>
      <c r="C11" s="4">
        <f>'v0.9.2c'!E7/100</f>
        <v>0.5</v>
      </c>
      <c r="J11" t="s">
        <v>36</v>
      </c>
      <c r="K11" s="7">
        <f>ROUNDUP(K9/K7,1)</f>
        <v>1.1000000000000001</v>
      </c>
      <c r="L11"/>
      <c r="R11" t="s">
        <v>14</v>
      </c>
      <c r="S11" s="2">
        <f>(S6*C12)*C9</f>
        <v>68.646000000000001</v>
      </c>
      <c r="V11" s="36" t="s">
        <v>72</v>
      </c>
      <c r="W11" s="36"/>
      <c r="Z11" t="s">
        <v>102</v>
      </c>
      <c r="AA11" s="14">
        <f>ROUND(AA6/(AA6+AA7),2)*100+1</f>
        <v>51</v>
      </c>
      <c r="AD11" t="s">
        <v>3</v>
      </c>
      <c r="AE11" s="80">
        <f>AE6/(AE6+AE7)</f>
        <v>0.5</v>
      </c>
    </row>
    <row r="12" spans="2:31" x14ac:dyDescent="0.25">
      <c r="B12" t="s">
        <v>10</v>
      </c>
      <c r="C12" s="4">
        <f>1-C11</f>
        <v>0.5</v>
      </c>
      <c r="F12" t="s">
        <v>57</v>
      </c>
      <c r="K12"/>
      <c r="L12"/>
      <c r="N12" t="s">
        <v>15</v>
      </c>
      <c r="O12" s="4">
        <f>C23</f>
        <v>0.98699999999999999</v>
      </c>
      <c r="V12" s="36" t="s">
        <v>58</v>
      </c>
      <c r="W12" s="37">
        <f>1-S40/S6</f>
        <v>0.606600666505</v>
      </c>
      <c r="AD12" t="s">
        <v>2</v>
      </c>
      <c r="AE12" s="80">
        <f>AE7/(AE6+AE7)</f>
        <v>0.5</v>
      </c>
    </row>
    <row r="13" spans="2:31" x14ac:dyDescent="0.25">
      <c r="B13" t="s">
        <v>9</v>
      </c>
      <c r="C13" s="4">
        <f>1+(C11-0.5)</f>
        <v>1</v>
      </c>
      <c r="F13" t="s">
        <v>58</v>
      </c>
      <c r="G13" s="33">
        <f>G10*G6</f>
        <v>1.5957094736842106</v>
      </c>
      <c r="J13" t="s">
        <v>34</v>
      </c>
      <c r="K13">
        <v>330</v>
      </c>
      <c r="L13"/>
      <c r="N13" t="s">
        <v>16</v>
      </c>
      <c r="O13" s="4">
        <f>C24</f>
        <v>1.0129999999999999</v>
      </c>
      <c r="R13" t="s">
        <v>98</v>
      </c>
      <c r="S13">
        <v>1.23</v>
      </c>
      <c r="T13" s="3"/>
      <c r="V13" s="36" t="s">
        <v>59</v>
      </c>
      <c r="W13" s="37">
        <f>1-S41/S6</f>
        <v>0.59623756349500001</v>
      </c>
    </row>
    <row r="14" spans="2:31" x14ac:dyDescent="0.25">
      <c r="B14" t="s">
        <v>10</v>
      </c>
      <c r="C14" s="4">
        <f>1+(C12-0.5)</f>
        <v>1</v>
      </c>
      <c r="F14" t="s">
        <v>59</v>
      </c>
      <c r="G14" s="33">
        <f>G10*G7</f>
        <v>1.5957094736842106</v>
      </c>
      <c r="J14" t="s">
        <v>48</v>
      </c>
      <c r="K14" s="7">
        <f>(ROUNDUP((K13/'v0.9.2c'!E8),1)-1)/3</f>
        <v>0.13333333333333339</v>
      </c>
      <c r="L14"/>
      <c r="R14" t="s">
        <v>24</v>
      </c>
      <c r="S14">
        <f>0.963*S13</f>
        <v>1.18449</v>
      </c>
      <c r="V14" s="36"/>
      <c r="W14" s="36"/>
      <c r="AD14" t="s">
        <v>16</v>
      </c>
      <c r="AE14" s="81">
        <f>(C22/2)+1</f>
        <v>1.3149999999999999</v>
      </c>
    </row>
    <row r="15" spans="2:31" x14ac:dyDescent="0.25">
      <c r="K15"/>
      <c r="L15"/>
      <c r="N15" t="s">
        <v>22</v>
      </c>
      <c r="O15" s="2">
        <f>32*O6*O9*O12</f>
        <v>31.584</v>
      </c>
      <c r="R15" t="s">
        <v>13</v>
      </c>
      <c r="S15" s="5">
        <f>S10*C18*S14</f>
        <v>81.310500540000007</v>
      </c>
      <c r="V15" s="36" t="s">
        <v>63</v>
      </c>
      <c r="W15" s="36"/>
      <c r="AD15" t="s">
        <v>123</v>
      </c>
      <c r="AE15" s="79">
        <f>AE14/10+1</f>
        <v>1.1315</v>
      </c>
    </row>
    <row r="16" spans="2:31" x14ac:dyDescent="0.25">
      <c r="B16" t="s">
        <v>3</v>
      </c>
      <c r="C16" s="4">
        <f>'v0.9.2c'!E8/('v0.9.2c'!E8+'v0.9.2c'!E9)</f>
        <v>0.5</v>
      </c>
      <c r="J16" t="s">
        <v>34</v>
      </c>
      <c r="K16">
        <v>315</v>
      </c>
      <c r="L16"/>
      <c r="N16" t="s">
        <v>23</v>
      </c>
      <c r="O16" s="2">
        <f>32*O7*O10*C24</f>
        <v>32.415999999999997</v>
      </c>
      <c r="R16" t="s">
        <v>14</v>
      </c>
      <c r="S16" s="5">
        <f>S11*C19*S14</f>
        <v>81.310500540000007</v>
      </c>
      <c r="V16" s="36" t="s">
        <v>58</v>
      </c>
      <c r="W16" s="38">
        <f>W9*W12</f>
        <v>12.132013330099999</v>
      </c>
    </row>
    <row r="17" spans="2:33" x14ac:dyDescent="0.25">
      <c r="B17" t="s">
        <v>2</v>
      </c>
      <c r="C17" s="4">
        <f>1-C16</f>
        <v>0.5</v>
      </c>
      <c r="J17" t="s">
        <v>49</v>
      </c>
      <c r="K17" s="2">
        <v>0</v>
      </c>
      <c r="L17"/>
      <c r="S17" s="2"/>
      <c r="V17" s="36" t="s">
        <v>59</v>
      </c>
      <c r="W17" s="38">
        <f>W9*W13</f>
        <v>11.9247512699</v>
      </c>
      <c r="AD17" t="s">
        <v>119</v>
      </c>
      <c r="AE17" s="79">
        <f>1-DATA!K14/5</f>
        <v>1</v>
      </c>
    </row>
    <row r="18" spans="2:33" x14ac:dyDescent="0.25">
      <c r="B18" t="s">
        <v>3</v>
      </c>
      <c r="C18" s="4">
        <f>1+(C16-0.5)</f>
        <v>1</v>
      </c>
      <c r="F18" t="s">
        <v>9</v>
      </c>
      <c r="G18">
        <f>C11/10+1</f>
        <v>1.05</v>
      </c>
      <c r="J18" t="s">
        <v>49</v>
      </c>
      <c r="K18" s="7">
        <f>('v0.9.2c'!E9/K16-1)/2</f>
        <v>-0.1111111111111111</v>
      </c>
      <c r="L18"/>
      <c r="N18" t="s">
        <v>98</v>
      </c>
      <c r="O18" s="11">
        <f>IF('v0.9.2c'!E12="RWD",-18,IF('v0.9.2c'!E12="AWD",-39,0))</f>
        <v>-18</v>
      </c>
      <c r="R18" t="s">
        <v>33</v>
      </c>
      <c r="S18" s="2"/>
      <c r="V18" s="36"/>
      <c r="W18" s="36"/>
      <c r="AD18" t="s">
        <v>120</v>
      </c>
      <c r="AE18" s="79">
        <f>1+DATA!K14/5</f>
        <v>1</v>
      </c>
    </row>
    <row r="19" spans="2:33" x14ac:dyDescent="0.25">
      <c r="B19" t="s">
        <v>2</v>
      </c>
      <c r="C19" s="4">
        <f>1+(C17-0.5)</f>
        <v>1</v>
      </c>
      <c r="F19" t="s">
        <v>10</v>
      </c>
      <c r="G19">
        <f>C12/10+1</f>
        <v>1.05</v>
      </c>
      <c r="K19"/>
      <c r="L19"/>
      <c r="N19" t="s">
        <v>27</v>
      </c>
      <c r="O19" s="1">
        <f>(100+O18)/100</f>
        <v>0.82</v>
      </c>
      <c r="R19" t="s">
        <v>13</v>
      </c>
      <c r="S19" s="2">
        <f>S15*C23</f>
        <v>80.253464032980006</v>
      </c>
      <c r="V19" s="36" t="s">
        <v>64</v>
      </c>
      <c r="W19" s="36"/>
    </row>
    <row r="20" spans="2:33" x14ac:dyDescent="0.25">
      <c r="J20" t="s">
        <v>50</v>
      </c>
      <c r="K20">
        <v>4.7</v>
      </c>
      <c r="L20"/>
      <c r="N20" t="s">
        <v>28</v>
      </c>
      <c r="O20" s="1">
        <f>1+(1-O19^3)/10</f>
        <v>1.0448632</v>
      </c>
      <c r="R20" t="s">
        <v>14</v>
      </c>
      <c r="S20" s="2">
        <f>S16*C24</f>
        <v>82.367537047019994</v>
      </c>
      <c r="V20" s="36" t="s">
        <v>24</v>
      </c>
      <c r="W20" s="36">
        <v>0.53</v>
      </c>
      <c r="AD20" t="s">
        <v>104</v>
      </c>
      <c r="AE20" s="79">
        <f>IF('v0.9.2c'!E14="dirt",1.05,IF('v0.9.2c'!E14="offroad",1.09,1))</f>
        <v>1</v>
      </c>
    </row>
    <row r="21" spans="2:33" x14ac:dyDescent="0.25">
      <c r="B21" t="s">
        <v>15</v>
      </c>
      <c r="C21" s="4">
        <f>'v0.9.2c'!E10</f>
        <v>0.37</v>
      </c>
      <c r="F21" t="s">
        <v>5</v>
      </c>
      <c r="G21">
        <f>C4*C6</f>
        <v>204</v>
      </c>
      <c r="J21" t="s">
        <v>51</v>
      </c>
      <c r="K21" s="7">
        <f>ROUNDDOWN(K20*(1+C16),1)</f>
        <v>7</v>
      </c>
      <c r="L21"/>
      <c r="S21" s="2"/>
      <c r="V21" s="36" t="s">
        <v>58</v>
      </c>
      <c r="W21" s="38">
        <f>ROUNDDOWN(W16*W20,1)</f>
        <v>6.4</v>
      </c>
      <c r="AD21" t="s">
        <v>121</v>
      </c>
      <c r="AE21" s="79">
        <f>IF('v0.9.2c'!E12="FWD",2,1)</f>
        <v>1</v>
      </c>
    </row>
    <row r="22" spans="2:33" x14ac:dyDescent="0.25">
      <c r="B22" t="s">
        <v>16</v>
      </c>
      <c r="C22" s="4">
        <f>1-C21</f>
        <v>0.63</v>
      </c>
      <c r="F22" t="s">
        <v>124</v>
      </c>
      <c r="G22">
        <f>S6/5000+1</f>
        <v>1.0407999999999999</v>
      </c>
      <c r="K22"/>
      <c r="L22"/>
      <c r="N22" t="s">
        <v>96</v>
      </c>
      <c r="O22" s="11">
        <f>IF('v0.9.2c'!E16="Balanced",0,IF('v0.9.2c'!E16="Dynamik",-8,IF('v0.9.2c'!E16="Sport",-12,-18)))</f>
        <v>0</v>
      </c>
      <c r="R22" t="s">
        <v>96</v>
      </c>
      <c r="S22" s="11">
        <f>IF('v0.9.2c'!E16="Balanced",0,IF('v0.9.2c'!E16="Dynamik",-2,IF('v0.9.2c'!E16="Sport",-4,-8)))</f>
        <v>0</v>
      </c>
      <c r="V22" s="36" t="s">
        <v>59</v>
      </c>
      <c r="W22" s="38">
        <f>ROUNDDOWN(W17*W20,1)</f>
        <v>6.3</v>
      </c>
    </row>
    <row r="23" spans="2:33" x14ac:dyDescent="0.25">
      <c r="B23" t="s">
        <v>15</v>
      </c>
      <c r="C23" s="4">
        <f>1+(C21-0.5)/10</f>
        <v>0.98699999999999999</v>
      </c>
      <c r="F23" t="s">
        <v>94</v>
      </c>
      <c r="G23">
        <f>DATA!J16</f>
        <v>1.53</v>
      </c>
      <c r="K23"/>
      <c r="L23"/>
      <c r="N23" t="s">
        <v>27</v>
      </c>
      <c r="O23" s="1">
        <f>(100+O22)/100</f>
        <v>1</v>
      </c>
      <c r="R23" t="s">
        <v>27</v>
      </c>
      <c r="S23" s="1">
        <f>(100+S22)/100</f>
        <v>1</v>
      </c>
      <c r="T23" s="1"/>
      <c r="AD23" t="s">
        <v>52</v>
      </c>
      <c r="AE23">
        <v>185</v>
      </c>
      <c r="AF23">
        <v>345</v>
      </c>
      <c r="AG23">
        <v>345</v>
      </c>
    </row>
    <row r="24" spans="2:33" x14ac:dyDescent="0.25">
      <c r="B24" t="s">
        <v>16</v>
      </c>
      <c r="C24" s="4">
        <f>1+(C22-0.5)/10</f>
        <v>1.0129999999999999</v>
      </c>
      <c r="G24" s="4"/>
      <c r="K24"/>
      <c r="L24"/>
      <c r="N24" t="s">
        <v>28</v>
      </c>
      <c r="O24" s="1">
        <f>1+(1-O23^3)/10</f>
        <v>1</v>
      </c>
      <c r="R24" t="s">
        <v>28</v>
      </c>
      <c r="S24" s="1">
        <f>1+(1-S23^3)/10</f>
        <v>1</v>
      </c>
      <c r="T24" s="1"/>
      <c r="X24" s="1"/>
      <c r="AD24" t="s">
        <v>53</v>
      </c>
      <c r="AE24" s="14">
        <f>IF('v0.9.2c'!E12="FWD",(ROUNDDOWN(AE23/2/'v0.9.2c'!E8,2)*100)*2,ROUNDDOWN(AE23/2/'v0.9.2c'!E8,2)*100)</f>
        <v>37</v>
      </c>
      <c r="AF24" s="1">
        <f>1+(AF23/AE6)/10</f>
        <v>1.1408163265306122</v>
      </c>
    </row>
    <row r="25" spans="2:33" x14ac:dyDescent="0.25">
      <c r="F25" t="s">
        <v>57</v>
      </c>
      <c r="J25" s="8"/>
      <c r="K25"/>
      <c r="L25"/>
      <c r="S25" s="2"/>
      <c r="T25" s="1"/>
      <c r="V25" t="s">
        <v>72</v>
      </c>
      <c r="W25" s="2"/>
      <c r="AD25" t="s">
        <v>54</v>
      </c>
      <c r="AE25" s="14">
        <f>ROUNDDOWN(AE23/'v0.9.2c'!E9,2)*100</f>
        <v>75</v>
      </c>
      <c r="AF25" s="1">
        <f>1+(AF23/AE7)/10</f>
        <v>1.1408163265306122</v>
      </c>
    </row>
    <row r="26" spans="2:33" x14ac:dyDescent="0.25">
      <c r="F26" t="s">
        <v>58</v>
      </c>
      <c r="G26" s="82">
        <f>G18*G22*G23</f>
        <v>1.6720452000000001</v>
      </c>
      <c r="K26"/>
      <c r="L26"/>
      <c r="N26" t="s">
        <v>97</v>
      </c>
      <c r="O26" s="11">
        <f>IF('v0.9.2c'!E16="Balanced",0,IF('v0.9.2c'!E16="Dynamik",2,IF('v0.9.2c'!E16="Sport",4,7)))</f>
        <v>0</v>
      </c>
      <c r="R26" t="s">
        <v>97</v>
      </c>
      <c r="S26" s="11">
        <f>IF('v0.9.2c'!E16="Balanced",0,IF('v0.9.2c'!E16="Dynamik",2,IF('v0.9.2c'!E16="Sport",4,6)))</f>
        <v>0</v>
      </c>
      <c r="T26" s="1"/>
      <c r="V26" t="s">
        <v>58</v>
      </c>
      <c r="W26" s="81">
        <f>S40/S6</f>
        <v>0.393399333495</v>
      </c>
      <c r="AF26" s="1"/>
    </row>
    <row r="27" spans="2:33" x14ac:dyDescent="0.25">
      <c r="F27" t="s">
        <v>59</v>
      </c>
      <c r="G27" s="82">
        <f>G19*G22*G23</f>
        <v>1.6720452000000001</v>
      </c>
      <c r="K27"/>
      <c r="L27"/>
      <c r="N27" t="s">
        <v>31</v>
      </c>
      <c r="O27" s="1">
        <f>1+O26/100</f>
        <v>1</v>
      </c>
      <c r="R27" t="s">
        <v>31</v>
      </c>
      <c r="S27" s="2">
        <f>1+S26/100</f>
        <v>1</v>
      </c>
      <c r="T27" s="1"/>
      <c r="V27" t="s">
        <v>59</v>
      </c>
      <c r="W27" s="81">
        <f>S41/S6</f>
        <v>0.40376243650499999</v>
      </c>
      <c r="AD27" t="s">
        <v>52</v>
      </c>
      <c r="AE27">
        <v>435</v>
      </c>
      <c r="AF27" s="8"/>
    </row>
    <row r="28" spans="2:33" x14ac:dyDescent="0.25">
      <c r="K28"/>
      <c r="L28"/>
      <c r="N28" t="s">
        <v>32</v>
      </c>
      <c r="O28" s="1">
        <f>1+O26/100</f>
        <v>1</v>
      </c>
      <c r="R28" t="s">
        <v>32</v>
      </c>
      <c r="S28" s="2">
        <f>1+S26/100</f>
        <v>1</v>
      </c>
      <c r="T28" s="1"/>
      <c r="V28" t="s">
        <v>74</v>
      </c>
      <c r="W28" s="79">
        <v>20</v>
      </c>
      <c r="AD28" t="s">
        <v>55</v>
      </c>
      <c r="AE28" s="14">
        <f>ROUNDDOWN(1-'v0.9.2c'!E8/AE27,2)*10</f>
        <v>4.3</v>
      </c>
      <c r="AF28" s="4"/>
    </row>
    <row r="29" spans="2:33" x14ac:dyDescent="0.25">
      <c r="K29"/>
      <c r="L29"/>
      <c r="S29" s="2"/>
      <c r="T29" s="1"/>
      <c r="V29" t="s">
        <v>0</v>
      </c>
      <c r="W29" s="79">
        <f>S6/1000+1</f>
        <v>1.204</v>
      </c>
      <c r="AD29" t="s">
        <v>56</v>
      </c>
      <c r="AE29" s="14">
        <f>ROUNDDOWN(1-'v0.9.2c'!E9/AE27,2)*100</f>
        <v>43</v>
      </c>
      <c r="AF29" s="4"/>
    </row>
    <row r="30" spans="2:33" x14ac:dyDescent="0.25">
      <c r="K30"/>
      <c r="L30"/>
      <c r="N30" t="s">
        <v>24</v>
      </c>
      <c r="O30" s="11">
        <f>'v0.9.2c'!T14</f>
        <v>0</v>
      </c>
      <c r="R30" t="s">
        <v>24</v>
      </c>
      <c r="S30" s="11">
        <f>'v0.9.2c'!Y14</f>
        <v>0</v>
      </c>
      <c r="T30" s="1"/>
      <c r="V30" t="s">
        <v>95</v>
      </c>
      <c r="W30" s="79">
        <f>W28*W29</f>
        <v>24.08</v>
      </c>
      <c r="AF30" s="1"/>
    </row>
    <row r="31" spans="2:33" x14ac:dyDescent="0.25">
      <c r="K31"/>
      <c r="L31"/>
      <c r="N31" t="s">
        <v>27</v>
      </c>
      <c r="O31" s="1">
        <f>(100+O30)/100</f>
        <v>1</v>
      </c>
      <c r="R31" t="s">
        <v>27</v>
      </c>
      <c r="S31" s="1">
        <f>(100+S30)/100</f>
        <v>1</v>
      </c>
      <c r="T31" s="1"/>
      <c r="V31" t="s">
        <v>75</v>
      </c>
      <c r="W31" s="79">
        <f>IF('v0.9.2c'!E16="Balanced",1,IF('v0.9.2c'!E16="Dynamik",1.02,IF('v0.9.2c'!E16="Sport",1.05,1.09)))</f>
        <v>1</v>
      </c>
      <c r="AD31" t="s">
        <v>26</v>
      </c>
      <c r="AE31" s="9">
        <f>ROUNDUP(AE12*AE14*AE18*100,0)</f>
        <v>66</v>
      </c>
      <c r="AF31" s="1"/>
    </row>
    <row r="32" spans="2:33" x14ac:dyDescent="0.25">
      <c r="K32"/>
      <c r="L32"/>
      <c r="N32" t="s">
        <v>28</v>
      </c>
      <c r="O32" s="1">
        <f>1+(1-O31^3)/10</f>
        <v>1</v>
      </c>
      <c r="P32" s="1"/>
      <c r="R32" t="s">
        <v>28</v>
      </c>
      <c r="S32" s="1">
        <f>1+(1-S31^3)/10</f>
        <v>1</v>
      </c>
      <c r="AD32" t="s">
        <v>76</v>
      </c>
      <c r="AE32" s="9">
        <f>IF('v0.9.2c'!E16="Balanced",AE31,IF('v0.9.2c'!E16="Dynamik",AE31+1,IF('v0.9.2c'!E16="Sport",AE31+2,AE31+4)))</f>
        <v>66</v>
      </c>
      <c r="AF32" s="1"/>
    </row>
    <row r="33" spans="11:32" x14ac:dyDescent="0.25">
      <c r="K33"/>
      <c r="L33"/>
      <c r="P33" s="1"/>
      <c r="S33" s="2"/>
      <c r="V33" t="s">
        <v>104</v>
      </c>
      <c r="W33" s="79">
        <f>IF('v0.9.2c'!E14="dirt",0.95,IF('v0.9.2c'!E14="offroad",0.9,1))</f>
        <v>1</v>
      </c>
      <c r="AF33" s="1"/>
    </row>
    <row r="34" spans="11:32" x14ac:dyDescent="0.25">
      <c r="K34"/>
      <c r="L34"/>
      <c r="N34" t="s">
        <v>30</v>
      </c>
      <c r="O34" s="11">
        <f>'v0.9.2c'!T16</f>
        <v>0</v>
      </c>
      <c r="P34" s="1"/>
      <c r="R34" t="s">
        <v>30</v>
      </c>
      <c r="S34" s="11">
        <f>'v0.9.2c'!Y16</f>
        <v>0</v>
      </c>
      <c r="AF34" s="1"/>
    </row>
    <row r="35" spans="11:32" x14ac:dyDescent="0.25">
      <c r="K35"/>
      <c r="L35"/>
      <c r="N35" t="s">
        <v>31</v>
      </c>
      <c r="O35" s="1">
        <f>1+O34/100</f>
        <v>1</v>
      </c>
      <c r="P35" s="1"/>
      <c r="R35" t="s">
        <v>31</v>
      </c>
      <c r="S35" s="1">
        <f>1+S34/100</f>
        <v>1</v>
      </c>
      <c r="V35" t="s">
        <v>63</v>
      </c>
      <c r="AD35" t="s">
        <v>52</v>
      </c>
      <c r="AF35" s="1"/>
    </row>
    <row r="36" spans="11:32" x14ac:dyDescent="0.25">
      <c r="K36"/>
      <c r="L36"/>
      <c r="N36" t="s">
        <v>32</v>
      </c>
      <c r="O36" s="1">
        <f>1+O34/100</f>
        <v>1</v>
      </c>
      <c r="P36" s="1"/>
      <c r="R36" t="s">
        <v>32</v>
      </c>
      <c r="S36" s="1">
        <f>1+S34/100</f>
        <v>1</v>
      </c>
      <c r="V36" t="s">
        <v>58</v>
      </c>
      <c r="W36" s="7">
        <f>(W30*W26)*W33</f>
        <v>9.4730559505595995</v>
      </c>
      <c r="AD36" t="s">
        <v>53</v>
      </c>
      <c r="AE36" s="14">
        <f>AE24*AE20</f>
        <v>37</v>
      </c>
      <c r="AF36" s="8">
        <f>AE9*AE17*AF24*AE20</f>
        <v>70.730612244897955</v>
      </c>
    </row>
    <row r="37" spans="11:32" x14ac:dyDescent="0.25">
      <c r="K37"/>
      <c r="L37"/>
      <c r="O37" s="2"/>
      <c r="P37" s="1"/>
      <c r="V37" t="s">
        <v>59</v>
      </c>
      <c r="W37" s="7">
        <f>(W30*W27*W31)*W33</f>
        <v>9.7225994710403985</v>
      </c>
      <c r="AD37" t="s">
        <v>54</v>
      </c>
      <c r="AE37" s="14">
        <f>AE25*AE20</f>
        <v>75</v>
      </c>
      <c r="AF37" s="8">
        <f>AE9*AF25*AE17*AE15*AE20</f>
        <v>80.031687755102027</v>
      </c>
    </row>
    <row r="38" spans="11:32" x14ac:dyDescent="0.25">
      <c r="K38"/>
      <c r="L38"/>
      <c r="N38" t="s">
        <v>22</v>
      </c>
      <c r="O38" s="7">
        <f>(O15*O23^2)*O27*O31*O35*O19</f>
        <v>25.898879999999998</v>
      </c>
      <c r="P38" s="1"/>
      <c r="R38" t="s">
        <v>104</v>
      </c>
      <c r="S38" s="79">
        <f>IF('v0.9.2c'!E14="dirt",0.87,IF('v0.9.2c'!E14="offroad",0.73,1))</f>
        <v>1</v>
      </c>
      <c r="W38" s="2"/>
      <c r="AF38" s="8"/>
    </row>
    <row r="39" spans="11:32" x14ac:dyDescent="0.25">
      <c r="N39" t="s">
        <v>23</v>
      </c>
      <c r="O39" s="7">
        <f>(O16*O24)*O28*O32*O36*O20</f>
        <v>33.870285491199994</v>
      </c>
      <c r="V39" t="s">
        <v>64</v>
      </c>
      <c r="W39" s="2"/>
      <c r="AD39" t="s">
        <v>52</v>
      </c>
      <c r="AF39" s="8"/>
    </row>
    <row r="40" spans="11:32" x14ac:dyDescent="0.25">
      <c r="O40" s="2"/>
      <c r="R40" t="s">
        <v>13</v>
      </c>
      <c r="S40" s="7">
        <f>(S19*S23*S27*S31*S35)*S38</f>
        <v>80.253464032980006</v>
      </c>
      <c r="V40" t="s">
        <v>24</v>
      </c>
      <c r="W40" s="1">
        <v>0.47</v>
      </c>
      <c r="AD40" t="s">
        <v>55</v>
      </c>
      <c r="AE40" s="14">
        <f>AE28*AE20</f>
        <v>4.3</v>
      </c>
      <c r="AF40" s="8">
        <f>AF36*0.082</f>
        <v>5.7999102040816322</v>
      </c>
    </row>
    <row r="41" spans="11:32" x14ac:dyDescent="0.25">
      <c r="N41" t="s">
        <v>104</v>
      </c>
      <c r="O41" s="79">
        <f>IF('v0.9.2c'!E14="dirt",0.87,IF('v0.9.2c'!E14="offroad",0.73,1))</f>
        <v>1</v>
      </c>
      <c r="R41" t="s">
        <v>14</v>
      </c>
      <c r="S41" s="7">
        <f>(S20*S24*S28*S32*S36)*S38</f>
        <v>82.367537047019994</v>
      </c>
      <c r="V41" t="s">
        <v>58</v>
      </c>
      <c r="W41" s="7">
        <f>W36*W40</f>
        <v>4.4523362967630113</v>
      </c>
      <c r="AD41" t="s">
        <v>56</v>
      </c>
      <c r="AE41" s="14">
        <f>AE29*AE20</f>
        <v>43</v>
      </c>
      <c r="AF41" s="8">
        <f>AF37*0.28</f>
        <v>22.408872571428571</v>
      </c>
    </row>
    <row r="42" spans="11:32" x14ac:dyDescent="0.25">
      <c r="V42" t="s">
        <v>59</v>
      </c>
      <c r="W42" s="7">
        <f>W40*W37</f>
        <v>4.5696217513889872</v>
      </c>
      <c r="AF42" s="8"/>
    </row>
    <row r="43" spans="11:32" x14ac:dyDescent="0.25">
      <c r="N43" t="s">
        <v>22</v>
      </c>
      <c r="O43" s="7">
        <f>O38*O41</f>
        <v>25.898879999999998</v>
      </c>
      <c r="AD43" t="s">
        <v>26</v>
      </c>
      <c r="AE43" s="9">
        <f>AE32</f>
        <v>66</v>
      </c>
      <c r="AF43" s="8"/>
    </row>
    <row r="44" spans="11:32" x14ac:dyDescent="0.25">
      <c r="N44" t="s">
        <v>23</v>
      </c>
      <c r="O44" s="7">
        <f>O39*O41</f>
        <v>33.870285491199994</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J6" sqref="J6"/>
    </sheetView>
  </sheetViews>
  <sheetFormatPr baseColWidth="10" defaultRowHeight="15" x14ac:dyDescent="0.25"/>
  <cols>
    <col min="1" max="1" width="11.7109375" customWidth="1"/>
    <col min="2" max="2" width="13.140625" style="12" bestFit="1" customWidth="1"/>
    <col min="3" max="17" width="11.7109375" customWidth="1"/>
  </cols>
  <sheetData>
    <row r="3" spans="2:17" s="12" customFormat="1" ht="25.5" x14ac:dyDescent="0.25">
      <c r="B3" s="13" t="s">
        <v>38</v>
      </c>
      <c r="D3" s="13" t="s">
        <v>75</v>
      </c>
      <c r="F3" s="13" t="s">
        <v>25</v>
      </c>
      <c r="H3" s="13" t="s">
        <v>104</v>
      </c>
      <c r="I3" s="13" t="s">
        <v>39</v>
      </c>
      <c r="J3" s="13" t="s">
        <v>40</v>
      </c>
      <c r="K3" s="12" t="s">
        <v>117</v>
      </c>
      <c r="M3" s="13" t="s">
        <v>82</v>
      </c>
      <c r="P3" s="40" t="s">
        <v>77</v>
      </c>
    </row>
    <row r="4" spans="2:17" ht="18.75" x14ac:dyDescent="0.3">
      <c r="P4" s="15" t="s">
        <v>78</v>
      </c>
    </row>
    <row r="5" spans="2:17" x14ac:dyDescent="0.25">
      <c r="B5" s="12">
        <v>-50</v>
      </c>
      <c r="D5" t="s">
        <v>109</v>
      </c>
      <c r="F5" t="s">
        <v>106</v>
      </c>
      <c r="H5" t="s">
        <v>114</v>
      </c>
      <c r="I5" t="s">
        <v>118</v>
      </c>
      <c r="J5">
        <v>1.02</v>
      </c>
      <c r="K5">
        <v>0</v>
      </c>
      <c r="M5" t="s">
        <v>83</v>
      </c>
    </row>
    <row r="6" spans="2:17" x14ac:dyDescent="0.25">
      <c r="B6" s="12">
        <v>-49</v>
      </c>
      <c r="D6" t="s">
        <v>110</v>
      </c>
      <c r="F6" t="s">
        <v>107</v>
      </c>
      <c r="H6" t="s">
        <v>115</v>
      </c>
      <c r="I6" t="s">
        <v>41</v>
      </c>
      <c r="J6">
        <v>1.06</v>
      </c>
      <c r="K6">
        <v>0.06</v>
      </c>
      <c r="M6" t="s">
        <v>84</v>
      </c>
      <c r="P6" s="85" t="s">
        <v>80</v>
      </c>
      <c r="Q6" s="85"/>
    </row>
    <row r="7" spans="2:17" x14ac:dyDescent="0.25">
      <c r="B7" s="12">
        <v>-48</v>
      </c>
      <c r="D7" t="s">
        <v>111</v>
      </c>
      <c r="F7" t="s">
        <v>108</v>
      </c>
      <c r="H7" t="s">
        <v>116</v>
      </c>
      <c r="I7" t="s">
        <v>42</v>
      </c>
      <c r="J7">
        <v>1.1299999999999999</v>
      </c>
      <c r="K7">
        <v>0.13</v>
      </c>
      <c r="M7" t="s">
        <v>85</v>
      </c>
      <c r="P7" s="86" t="s">
        <v>81</v>
      </c>
      <c r="Q7" s="86"/>
    </row>
    <row r="8" spans="2:17" x14ac:dyDescent="0.25">
      <c r="B8" s="12">
        <v>-47</v>
      </c>
      <c r="D8" t="s">
        <v>112</v>
      </c>
      <c r="I8" t="s">
        <v>43</v>
      </c>
      <c r="J8">
        <v>1.25</v>
      </c>
      <c r="K8">
        <v>0.25</v>
      </c>
      <c r="P8" s="87" t="s">
        <v>79</v>
      </c>
      <c r="Q8" s="87"/>
    </row>
    <row r="9" spans="2:17" x14ac:dyDescent="0.25">
      <c r="B9" s="12">
        <v>-46</v>
      </c>
      <c r="I9" t="s">
        <v>44</v>
      </c>
      <c r="J9">
        <v>1.29</v>
      </c>
      <c r="K9">
        <v>0.28999999999999998</v>
      </c>
    </row>
    <row r="10" spans="2:17" x14ac:dyDescent="0.25">
      <c r="B10" s="12">
        <v>-45</v>
      </c>
      <c r="I10" t="s">
        <v>45</v>
      </c>
      <c r="J10">
        <v>1.1499999999999999</v>
      </c>
      <c r="K10">
        <v>0.15</v>
      </c>
    </row>
    <row r="11" spans="2:17" x14ac:dyDescent="0.25">
      <c r="B11" s="12">
        <v>-44</v>
      </c>
      <c r="I11" t="s">
        <v>46</v>
      </c>
      <c r="J11">
        <v>1.1499999999999999</v>
      </c>
      <c r="K11">
        <v>0.15</v>
      </c>
    </row>
    <row r="12" spans="2:17" x14ac:dyDescent="0.25">
      <c r="B12" s="12">
        <v>-43</v>
      </c>
      <c r="I12" t="s">
        <v>47</v>
      </c>
      <c r="J12">
        <v>1.0900000000000001</v>
      </c>
      <c r="K12">
        <v>0.09</v>
      </c>
    </row>
    <row r="13" spans="2:17" x14ac:dyDescent="0.25">
      <c r="B13" s="12">
        <v>-42</v>
      </c>
      <c r="I13" t="s">
        <v>61</v>
      </c>
      <c r="J13">
        <v>0.96</v>
      </c>
      <c r="K13">
        <v>-0.04</v>
      </c>
    </row>
    <row r="14" spans="2:17" x14ac:dyDescent="0.25">
      <c r="B14" s="12">
        <v>-41</v>
      </c>
      <c r="I14" t="s">
        <v>60</v>
      </c>
      <c r="J14">
        <f>IF('v0.9.2c'!J10="Standard",J5,IF('v0.9.2c'!J10="Straße",J6,IF('v0.9.2c'!J10="Sport",J7,IF('v0.9.2c'!J10="Semi-Slick",J8,IF('v0.9.2c'!J10="Slick",J9,IF('v0.9.2c'!J10="Drift",J10,IF('v0.9.2c'!J10="Rallye",J11,IF('v0.9.2c'!J10="Offroad",J12,J13))))))))</f>
        <v>1.02</v>
      </c>
      <c r="K14">
        <f>IF('v0.9.2c'!J10="Standard",K5,IF('v0.9.2c'!J10="Straße",K6,IF('v0.9.2c'!J10="Sport",K7,IF('v0.9.2c'!J10="Semi-Slick",K8,IF('v0.9.2c'!J10="Slick",K9,IF('v0.9.2c'!J10="Drift",K10,IF('v0.9.2c'!J10="Rallye",K11,IF('v0.9.2c'!J10="Offroad",K12,K13))))))))</f>
        <v>0</v>
      </c>
    </row>
    <row r="15" spans="2:17" x14ac:dyDescent="0.25">
      <c r="B15" s="12">
        <v>-40</v>
      </c>
      <c r="I15" t="s">
        <v>125</v>
      </c>
      <c r="J15">
        <v>1.5</v>
      </c>
    </row>
    <row r="16" spans="2:17" x14ac:dyDescent="0.25">
      <c r="B16" s="12">
        <v>-39</v>
      </c>
      <c r="I16" t="s">
        <v>126</v>
      </c>
      <c r="J16">
        <f>J14*J15</f>
        <v>1.53</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v0.9.2c</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2026-06-04T20:09:42Z</dcterms:modified>
</cp:coreProperties>
</file>