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166925"/>
  <mc:AlternateContent xmlns:mc="http://schemas.openxmlformats.org/markup-compatibility/2006">
    <mc:Choice Requires="x15">
      <x15ac:absPath xmlns:x15ac="http://schemas.microsoft.com/office/spreadsheetml/2010/11/ac" url="C:\Users\tmxbo\Desktop\"/>
    </mc:Choice>
  </mc:AlternateContent>
  <xr:revisionPtr revIDLastSave="0" documentId="13_ncr:1_{2E784EFF-BA51-4F69-84B7-0A6661AB6DD0}" xr6:coauthVersionLast="47" xr6:coauthVersionMax="47" xr10:uidLastSave="{00000000-0000-0000-0000-000000000000}"/>
  <bookViews>
    <workbookView xWindow="51885" yWindow="885" windowWidth="37425" windowHeight="11730" xr2:uid="{5C2A3C15-C71C-4602-A0C2-E59566995DB2}"/>
  </bookViews>
  <sheets>
    <sheet name="v0.9.9.8" sheetId="1" r:id="rId1"/>
    <sheet name="CALC" sheetId="2" r:id="rId2"/>
    <sheet name="DATA" sheetId="3"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Y12" i="1" l="1"/>
  <c r="Y11" i="1"/>
  <c r="R13" i="3"/>
  <c r="S33" i="2"/>
  <c r="K16" i="2"/>
  <c r="K17" i="2" s="1"/>
  <c r="K18" i="2" s="1"/>
  <c r="O11" i="1" s="1"/>
  <c r="K11" i="2"/>
  <c r="R10" i="3"/>
  <c r="R11" i="3" s="1"/>
  <c r="R6" i="3"/>
  <c r="R7" i="3" s="1"/>
  <c r="R14" i="3" s="1"/>
  <c r="S34" i="2" s="1"/>
  <c r="L17" i="3"/>
  <c r="K17" i="3"/>
  <c r="O35" i="2"/>
  <c r="S11" i="2"/>
  <c r="S12" i="2" s="1"/>
  <c r="O22" i="2"/>
  <c r="O23" i="2" s="1"/>
  <c r="S15" i="2"/>
  <c r="S16" i="2" s="1"/>
  <c r="S17" i="2" s="1"/>
  <c r="W12" i="2"/>
  <c r="S8" i="2"/>
  <c r="S9" i="2"/>
  <c r="S28" i="2"/>
  <c r="O18" i="2"/>
  <c r="S6" i="2"/>
  <c r="S13" i="2" l="1"/>
  <c r="S26" i="2"/>
  <c r="S25" i="2"/>
  <c r="S23" i="2"/>
  <c r="S22" i="2"/>
  <c r="S19" i="2"/>
  <c r="S20" i="2" s="1"/>
  <c r="W23" i="2"/>
  <c r="W17" i="2"/>
  <c r="W22" i="2"/>
  <c r="AA12" i="2"/>
  <c r="O42" i="2"/>
  <c r="AA13" i="2"/>
  <c r="AE22" i="2"/>
  <c r="AA9" i="2"/>
  <c r="O19" i="2" l="1"/>
  <c r="O20" i="2" s="1"/>
  <c r="AE20" i="2"/>
  <c r="AE21" i="2"/>
  <c r="AE7" i="2"/>
  <c r="AE6" i="2"/>
  <c r="AE25" i="2" s="1"/>
  <c r="AE17" i="2"/>
  <c r="AA10" i="2"/>
  <c r="O41" i="2"/>
  <c r="O34" i="2"/>
  <c r="O36" i="2" s="1"/>
  <c r="O30" i="2"/>
  <c r="O31" i="2" s="1"/>
  <c r="O32" i="2" s="1"/>
  <c r="O26" i="2"/>
  <c r="S29" i="2"/>
  <c r="O12" i="1"/>
  <c r="S30" i="2" l="1"/>
  <c r="AE29" i="2"/>
  <c r="AE33" i="2" s="1"/>
  <c r="K19" i="3"/>
  <c r="AN7" i="1"/>
  <c r="AE26" i="2"/>
  <c r="AE18" i="2"/>
  <c r="AE11" i="2"/>
  <c r="AE12" i="2"/>
  <c r="K22" i="2"/>
  <c r="K7" i="2"/>
  <c r="K6" i="2"/>
  <c r="K12" i="2" s="1"/>
  <c r="O27" i="2"/>
  <c r="O28" i="2"/>
  <c r="C11" i="2"/>
  <c r="C4" i="2"/>
  <c r="C21" i="2"/>
  <c r="C16" i="2"/>
  <c r="C17" i="2" s="1"/>
  <c r="C19" i="2" s="1"/>
  <c r="O10" i="2" s="1"/>
  <c r="S7" i="2" l="1"/>
  <c r="G9" i="2"/>
  <c r="G10" i="2" s="1"/>
  <c r="AN8" i="1"/>
  <c r="G11" i="2"/>
  <c r="AA19" i="2"/>
  <c r="AI11" i="1" s="1"/>
  <c r="C23" i="2"/>
  <c r="G6" i="2"/>
  <c r="O24" i="2"/>
  <c r="C13" i="2"/>
  <c r="O6" i="2" s="1"/>
  <c r="K13" i="2"/>
  <c r="O8" i="1" s="1"/>
  <c r="O7" i="1"/>
  <c r="K25" i="2"/>
  <c r="K26" i="2" s="1"/>
  <c r="O15" i="1" s="1"/>
  <c r="AA6" i="2"/>
  <c r="AA7" i="2"/>
  <c r="C12" i="2"/>
  <c r="C22" i="2"/>
  <c r="C18" i="2"/>
  <c r="C8" i="2"/>
  <c r="S39" i="2" l="1"/>
  <c r="W8" i="2" s="1"/>
  <c r="S38" i="2"/>
  <c r="G14" i="2"/>
  <c r="W10" i="2"/>
  <c r="W11" i="2" s="1"/>
  <c r="AA16" i="2"/>
  <c r="AI7" i="1" s="1"/>
  <c r="AE14" i="2"/>
  <c r="O12" i="2"/>
  <c r="G7" i="2"/>
  <c r="G15" i="2" s="1"/>
  <c r="C14" i="2"/>
  <c r="O7" i="2" s="1"/>
  <c r="C24" i="2"/>
  <c r="O9" i="2"/>
  <c r="W19" i="2" l="1"/>
  <c r="Y8" i="1"/>
  <c r="W7" i="2"/>
  <c r="W18" i="2" s="1"/>
  <c r="Y7" i="1"/>
  <c r="AE15" i="2"/>
  <c r="AE30" i="2" s="1"/>
  <c r="AN11" i="1" s="1"/>
  <c r="AE36" i="2"/>
  <c r="AE37" i="2" s="1"/>
  <c r="O15" i="2"/>
  <c r="O38" i="2" s="1"/>
  <c r="O46" i="2" s="1"/>
  <c r="O13" i="2"/>
  <c r="J8" i="1"/>
  <c r="J7" i="1"/>
  <c r="O16" i="2"/>
  <c r="O39" i="2" s="1"/>
  <c r="O47" i="2" s="1"/>
  <c r="T8" i="1" s="1"/>
  <c r="T7" i="1" l="1"/>
  <c r="AE34" i="2"/>
  <c r="AN12" i="1" s="1"/>
  <c r="AN15" i="1"/>
  <c r="AD7" i="1" l="1"/>
  <c r="W24" i="2"/>
  <c r="AD11" i="1" s="1"/>
  <c r="AD8" i="1" l="1"/>
  <c r="W25" i="2"/>
  <c r="AD12"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Tim Meyer</author>
  </authors>
  <commentList>
    <comment ref="E4" authorId="0" shapeId="0" xr:uid="{F73A26EF-1441-43B5-BC3D-2E5D3AB48C13}">
      <text>
        <r>
          <rPr>
            <b/>
            <sz val="18"/>
            <color indexed="9"/>
            <rFont val="Calibri Light"/>
            <family val="2"/>
          </rPr>
          <t>Bitte alle angegebenen Fahrzeugdaten eingeben.
▼ - Dropdown Menü</t>
        </r>
      </text>
    </comment>
    <comment ref="J4" authorId="0" shapeId="0" xr:uid="{19CA0D1D-4CC6-4C9C-9F7B-D006580BE896}">
      <text>
        <r>
          <rPr>
            <b/>
            <sz val="18"/>
            <color indexed="9"/>
            <rFont val="Akzidenz Grotesk BE Ex"/>
            <family val="2"/>
          </rPr>
          <t>Über das untere Dropdown-Menü bitte die Reifenmischung auswählen.</t>
        </r>
      </text>
    </comment>
    <comment ref="O4" authorId="0" shapeId="0" xr:uid="{65A4946B-518C-495C-BE39-E36950F3E01C}">
      <text>
        <r>
          <rPr>
            <b/>
            <sz val="18"/>
            <color indexed="9"/>
            <rFont val="Akzidenz Grotesk BE Ex"/>
            <family val="2"/>
          </rPr>
          <t xml:space="preserve">...
</t>
        </r>
      </text>
    </comment>
    <comment ref="T4" authorId="0" shapeId="0" xr:uid="{126D96E4-6292-4664-8BDF-07DF56B24607}">
      <text>
        <r>
          <rPr>
            <b/>
            <sz val="18"/>
            <color indexed="9"/>
            <rFont val="Akzidenz Grotesk BE Ex"/>
            <family val="2"/>
          </rPr>
          <t>Über Offset% kann das Verhältnis von Voder- zu Hinterachse verändert werden
Mit Härte% kann die Härte der Stabilisatoren im ganzen angepasst werden.</t>
        </r>
      </text>
    </comment>
    <comment ref="Y4" authorId="0" shapeId="0" xr:uid="{023272B8-1413-4F78-9D70-02099D99C935}">
      <text>
        <r>
          <rPr>
            <b/>
            <sz val="18"/>
            <color indexed="9"/>
            <rFont val="Akzidenz Grotesk BE Ex"/>
            <family val="2"/>
          </rPr>
          <t xml:space="preserve">Für Dirt und Offroad das Rallye Fahrwerk verbauen
Über Offset% kann das Verhältnis von Voder- zu Hinterachse verändert werden
Mit Härte% kann die Härte 
der Federn im ganzen angepasst werden.
Die Dämpfer passen sich automatisch den neuen Federwerten an.
</t>
        </r>
      </text>
    </comment>
    <comment ref="AD4" authorId="0" shapeId="0" xr:uid="{34A98B0D-4545-4CE7-848E-1F181E932EF8}">
      <text>
        <r>
          <rPr>
            <b/>
            <sz val="18"/>
            <color indexed="9"/>
            <rFont val="Akzidenz Grotesk BE Ex"/>
            <family val="2"/>
          </rPr>
          <t xml:space="preserve">...
</t>
        </r>
      </text>
    </comment>
    <comment ref="AI4" authorId="0" shapeId="0" xr:uid="{B9684F92-2EB2-4582-874E-C441BF36E3E0}">
      <text>
        <r>
          <rPr>
            <b/>
            <sz val="18"/>
            <color indexed="9"/>
            <rFont val="Akzidenz Grotesk BE Ex"/>
            <family val="2"/>
          </rPr>
          <t xml:space="preserve">Sollte die Hinterachse zu aktiv beim anbremsen sein oder die hinteren Räder in extremen Situationen blockieren, reicht es in der Regel die Balance um einen Punkt zu erhöhen.
</t>
        </r>
      </text>
    </comment>
    <comment ref="AN4" authorId="0" shapeId="0" xr:uid="{F2537F02-6D0F-4FA4-A421-EDA6CB758EE7}">
      <text>
        <r>
          <rPr>
            <b/>
            <sz val="18"/>
            <color indexed="9"/>
            <rFont val="Akzidenz Grotesk BE Ex"/>
            <family val="2"/>
          </rPr>
          <t xml:space="preserve">Bei Auswahl eines Presets und der Antriebsart AWD, ändert sich auch der Balance Wert.
</t>
        </r>
      </text>
    </comment>
    <comment ref="E10" authorId="0" shapeId="0" xr:uid="{C330866C-9F89-425C-B62A-DD5627E3CDE8}">
      <text>
        <r>
          <rPr>
            <b/>
            <sz val="18"/>
            <color indexed="9"/>
            <rFont val="Akzidenz Grotesk BE Ex"/>
            <family val="2"/>
          </rPr>
          <t xml:space="preserve">Empfehlung: 0,37 bis 0,43
Umso höher der Wert, umso mehr Grip hat die Vorderachse und das Fahrzeug neigt zum übersteuern.
Ist nur ein einstellbarer Heckflügel verbaut, diesen auf das Minimum einstellen und den Aero Balance Wert, der dann im Feintuning steht, eintragen.
</t>
        </r>
      </text>
    </comment>
  </commentList>
</comments>
</file>

<file path=xl/sharedStrings.xml><?xml version="1.0" encoding="utf-8"?>
<sst xmlns="http://schemas.openxmlformats.org/spreadsheetml/2006/main" count="283" uniqueCount="137">
  <si>
    <t>Gewicht</t>
  </si>
  <si>
    <t>Front%</t>
  </si>
  <si>
    <t>Reifenbreite Heck</t>
  </si>
  <si>
    <t>Reifenbreite Front</t>
  </si>
  <si>
    <t>Aero Balance</t>
  </si>
  <si>
    <t>Federrate MAX</t>
  </si>
  <si>
    <t>Federrate MIN</t>
  </si>
  <si>
    <t>Federrate MID</t>
  </si>
  <si>
    <t>Federn</t>
  </si>
  <si>
    <t>Gewichtsverteilung Front</t>
  </si>
  <si>
    <t>Gewichtsverteilung Heck</t>
  </si>
  <si>
    <t>Federrate Ideal</t>
  </si>
  <si>
    <t>Werte</t>
  </si>
  <si>
    <t>Federrate Front</t>
  </si>
  <si>
    <t>Federrate Heck</t>
  </si>
  <si>
    <t>Aero Balance Front</t>
  </si>
  <si>
    <t>Aero Balance Heck</t>
  </si>
  <si>
    <t>Dämpfer</t>
  </si>
  <si>
    <t>Stabilisator</t>
  </si>
  <si>
    <t>Stabilisator Front</t>
  </si>
  <si>
    <t>Stabilisator Heck</t>
  </si>
  <si>
    <t>Offset</t>
  </si>
  <si>
    <t>Bremse</t>
  </si>
  <si>
    <t>Balance</t>
  </si>
  <si>
    <t>Offset Front</t>
  </si>
  <si>
    <t>Offset Heck</t>
  </si>
  <si>
    <t>Differential</t>
  </si>
  <si>
    <t>Härte</t>
  </si>
  <si>
    <t>Härte Front</t>
  </si>
  <si>
    <t>Härte Heck</t>
  </si>
  <si>
    <t>Spur</t>
  </si>
  <si>
    <t>Sturz Front</t>
  </si>
  <si>
    <t>Sturz Heck</t>
  </si>
  <si>
    <t>Sturz</t>
  </si>
  <si>
    <t>Offset / Härte</t>
  </si>
  <si>
    <t>Mischung</t>
  </si>
  <si>
    <t>Reifendruck</t>
  </si>
  <si>
    <t>Straße</t>
  </si>
  <si>
    <t>Sport</t>
  </si>
  <si>
    <t>Semi-Slick</t>
  </si>
  <si>
    <t>Slick</t>
  </si>
  <si>
    <t>Drift</t>
  </si>
  <si>
    <t>Rallye</t>
  </si>
  <si>
    <t>Offroad</t>
  </si>
  <si>
    <t>Spur Front</t>
  </si>
  <si>
    <t>Spur Heck</t>
  </si>
  <si>
    <t>Nachlauf</t>
  </si>
  <si>
    <t>Winkel</t>
  </si>
  <si>
    <t>Sperre</t>
  </si>
  <si>
    <t>Beschleunigen Front</t>
  </si>
  <si>
    <t>Beschleunigen Heck</t>
  </si>
  <si>
    <t>Abbremsen Front</t>
  </si>
  <si>
    <t>Abbremsen Heck</t>
  </si>
  <si>
    <t>Druck</t>
  </si>
  <si>
    <t>Front</t>
  </si>
  <si>
    <t>Heck</t>
  </si>
  <si>
    <t>Auswahl</t>
  </si>
  <si>
    <t>Drag</t>
  </si>
  <si>
    <t>Fahrhöhe</t>
  </si>
  <si>
    <t>Zugstufe</t>
  </si>
  <si>
    <t>Druckstufe</t>
  </si>
  <si>
    <t>Bremskraft</t>
  </si>
  <si>
    <t>Abbremsen</t>
  </si>
  <si>
    <t>Mitte</t>
  </si>
  <si>
    <t>Offset%</t>
  </si>
  <si>
    <t>Härte%</t>
  </si>
  <si>
    <t>Gewicht in KG</t>
  </si>
  <si>
    <t>Federrate</t>
  </si>
  <si>
    <t>Wert</t>
  </si>
  <si>
    <t>Preset</t>
  </si>
  <si>
    <t>Balance Preset</t>
  </si>
  <si>
    <t>Futura Extra Black Condensed  20pt</t>
  </si>
  <si>
    <t>Akzidenz Grotesk BE Ex 14 pt</t>
  </si>
  <si>
    <t>Frabcode #E83382</t>
  </si>
  <si>
    <t>Farbcode #F26235</t>
  </si>
  <si>
    <t>Farbcode #EC4C59</t>
  </si>
  <si>
    <t>Antriebsart</t>
  </si>
  <si>
    <t>RWD</t>
  </si>
  <si>
    <t>AWD</t>
  </si>
  <si>
    <t>FWD</t>
  </si>
  <si>
    <t>Radsturz</t>
  </si>
  <si>
    <t>Nachlauf vorn</t>
  </si>
  <si>
    <t>Stabilisatoren</t>
  </si>
  <si>
    <t>Zugstufendämpfung</t>
  </si>
  <si>
    <t>Druckstufendämpfung</t>
  </si>
  <si>
    <t>Beschleunigung</t>
  </si>
  <si>
    <t>Reifen</t>
  </si>
  <si>
    <t>▼</t>
  </si>
  <si>
    <t>Druck Multi</t>
  </si>
  <si>
    <t>Wert_Gewicht</t>
  </si>
  <si>
    <t>Offset Preset</t>
  </si>
  <si>
    <t>Härte Preset</t>
  </si>
  <si>
    <t>Pretune Offset</t>
  </si>
  <si>
    <t>🛈</t>
  </si>
  <si>
    <t>Super Simple Calculator by 9t3ndo</t>
  </si>
  <si>
    <t>KGF/MM</t>
  </si>
  <si>
    <t>Untergrund</t>
  </si>
  <si>
    <t>Bar</t>
  </si>
  <si>
    <t>FRONT</t>
  </si>
  <si>
    <t>MID</t>
  </si>
  <si>
    <t>REAR</t>
  </si>
  <si>
    <t>BALANCED</t>
  </si>
  <si>
    <t>DYNAMIK</t>
  </si>
  <si>
    <t>SPORT</t>
  </si>
  <si>
    <t>RACE</t>
  </si>
  <si>
    <t>Fahrmodus</t>
  </si>
  <si>
    <t>ASPHALT</t>
  </si>
  <si>
    <t>DIRT</t>
  </si>
  <si>
    <t>OFFROAD</t>
  </si>
  <si>
    <t>Standard</t>
  </si>
  <si>
    <t>Reifenmischung -</t>
  </si>
  <si>
    <t>Reifenmischung +</t>
  </si>
  <si>
    <t>Antrieb</t>
  </si>
  <si>
    <t>Sperre%</t>
  </si>
  <si>
    <t>Aero Balance Heck%</t>
  </si>
  <si>
    <t>Druck Max</t>
  </si>
  <si>
    <t>Multi</t>
  </si>
  <si>
    <t>WERT</t>
  </si>
  <si>
    <t>Reifen Grip</t>
  </si>
  <si>
    <t>Antrieb Abbremsen</t>
  </si>
  <si>
    <t>Offset Antrieb</t>
  </si>
  <si>
    <t>Federrate Max</t>
  </si>
  <si>
    <t>Gewicht Vorn%</t>
  </si>
  <si>
    <t>Gewicht Heck%</t>
  </si>
  <si>
    <t>Reifenbreite Front%</t>
  </si>
  <si>
    <t>Reifenbreite Heck%</t>
  </si>
  <si>
    <t>Aero Front%</t>
  </si>
  <si>
    <t>Aero Heck%</t>
  </si>
  <si>
    <t>Vintage</t>
  </si>
  <si>
    <t>Vint. Race</t>
  </si>
  <si>
    <t>Grip Diff</t>
  </si>
  <si>
    <t>Weißwand</t>
  </si>
  <si>
    <t>PrePretune Offset Front</t>
  </si>
  <si>
    <t>Offest Federn</t>
  </si>
  <si>
    <t>Fahrmodi</t>
  </si>
  <si>
    <t>Pretune Härte</t>
  </si>
  <si>
    <t>v0.9.9.8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</si>
</sst>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
    <numFmt numFmtId="165" formatCode="0.000"/>
    <numFmt numFmtId="166" formatCode="0.0000"/>
    <numFmt numFmtId="167" formatCode="0.0\ &quot;KGF/MM&quot;"/>
  </numFmts>
  <fonts count="13" x14ac:knownFonts="1">
    <font>
      <sz val="11"/>
      <color theme="1"/>
      <name val="Calibri"/>
      <family val="2"/>
      <scheme val="minor"/>
    </font>
    <font>
      <b/>
      <sz val="11"/>
      <color theme="1"/>
      <name val="Calibri"/>
      <family val="2"/>
      <scheme val="minor"/>
    </font>
    <font>
      <b/>
      <sz val="20"/>
      <color theme="1"/>
      <name val="Calibri"/>
      <family val="2"/>
      <scheme val="minor"/>
    </font>
    <font>
      <sz val="20"/>
      <color theme="1"/>
      <name val="Futura Extra Black Condensed"/>
      <family val="3"/>
    </font>
    <font>
      <sz val="14"/>
      <color theme="1"/>
      <name val="Akzidenz Grotesk BE Ex"/>
      <family val="2"/>
    </font>
    <font>
      <b/>
      <sz val="13"/>
      <color theme="1"/>
      <name val="Akzidenz Grotesk BE Ex"/>
      <family val="2"/>
    </font>
    <font>
      <b/>
      <sz val="13"/>
      <color theme="1"/>
      <name val="Calibri"/>
      <family val="2"/>
      <scheme val="minor"/>
    </font>
    <font>
      <b/>
      <sz val="13"/>
      <name val="Akzidenz Grotesk BE Ex"/>
      <family val="2"/>
    </font>
    <font>
      <sz val="16"/>
      <color rgb="FF373637"/>
      <name val="Segoe UI"/>
      <family val="2"/>
    </font>
    <font>
      <b/>
      <sz val="13"/>
      <color theme="0"/>
      <name val="Akzidenz Grotesk BE Ex"/>
      <family val="2"/>
    </font>
    <font>
      <b/>
      <i/>
      <sz val="11"/>
      <color theme="1"/>
      <name val="Akzidenz Grotesk BE Ex"/>
      <family val="2"/>
    </font>
    <font>
      <b/>
      <sz val="18"/>
      <color indexed="9"/>
      <name val="Akzidenz Grotesk BE Ex"/>
      <family val="2"/>
    </font>
    <font>
      <b/>
      <sz val="18"/>
      <color indexed="9"/>
      <name val="Calibri Light"/>
      <family val="2"/>
    </font>
  </fonts>
  <fills count="10">
    <fill>
      <patternFill patternType="none"/>
    </fill>
    <fill>
      <patternFill patternType="gray125"/>
    </fill>
    <fill>
      <patternFill patternType="solid">
        <fgColor theme="4" tint="0.79998168889431442"/>
        <bgColor indexed="64"/>
      </patternFill>
    </fill>
    <fill>
      <patternFill patternType="solid">
        <fgColor theme="5" tint="0.59999389629810485"/>
        <bgColor indexed="64"/>
      </patternFill>
    </fill>
    <fill>
      <patternFill patternType="solid">
        <fgColor rgb="FFE83382"/>
        <bgColor indexed="64"/>
      </patternFill>
    </fill>
    <fill>
      <patternFill patternType="solid">
        <fgColor rgb="FFF26235"/>
        <bgColor indexed="64"/>
      </patternFill>
    </fill>
    <fill>
      <patternFill patternType="solid">
        <fgColor rgb="FFEC4C59"/>
        <bgColor indexed="64"/>
      </patternFill>
    </fill>
    <fill>
      <patternFill patternType="solid">
        <fgColor theme="0" tint="-0.249977111117893"/>
        <bgColor indexed="64"/>
      </patternFill>
    </fill>
    <fill>
      <patternFill patternType="solid">
        <fgColor theme="0"/>
        <bgColor indexed="64"/>
      </patternFill>
    </fill>
    <fill>
      <patternFill patternType="solid">
        <fgColor theme="5" tint="0.39997558519241921"/>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right style="thin">
        <color indexed="64"/>
      </right>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s>
  <cellStyleXfs count="1">
    <xf numFmtId="0" fontId="0" fillId="0" borderId="0"/>
  </cellStyleXfs>
  <cellXfs count="89">
    <xf numFmtId="0" fontId="0" fillId="0" borderId="0" xfId="0"/>
    <xf numFmtId="2" fontId="0" fillId="0" borderId="0" xfId="0" applyNumberFormat="1"/>
    <xf numFmtId="164" fontId="0" fillId="0" borderId="0" xfId="0" applyNumberFormat="1"/>
    <xf numFmtId="165" fontId="0" fillId="0" borderId="0" xfId="0" applyNumberFormat="1"/>
    <xf numFmtId="166" fontId="0" fillId="0" borderId="0" xfId="0" applyNumberFormat="1"/>
    <xf numFmtId="0" fontId="1" fillId="0" borderId="0" xfId="0" applyFont="1"/>
    <xf numFmtId="164" fontId="0" fillId="2" borderId="0" xfId="0" applyNumberFormat="1" applyFill="1"/>
    <xf numFmtId="1" fontId="0" fillId="0" borderId="0" xfId="0" applyNumberFormat="1"/>
    <xf numFmtId="0" fontId="0" fillId="2" borderId="0" xfId="0" applyFill="1"/>
    <xf numFmtId="164" fontId="1" fillId="0" borderId="0" xfId="0" applyNumberFormat="1" applyFont="1"/>
    <xf numFmtId="1" fontId="0" fillId="3" borderId="0" xfId="0" applyNumberFormat="1" applyFill="1"/>
    <xf numFmtId="0" fontId="0" fillId="0" borderId="0" xfId="0" applyAlignment="1">
      <alignment horizontal="center" vertical="center"/>
    </xf>
    <xf numFmtId="0" fontId="1" fillId="0" borderId="0" xfId="0" applyFont="1" applyAlignment="1">
      <alignment horizontal="center" vertical="center"/>
    </xf>
    <xf numFmtId="1" fontId="0" fillId="2" borderId="0" xfId="0" applyNumberFormat="1" applyFill="1"/>
    <xf numFmtId="0" fontId="4" fillId="0" borderId="0" xfId="0" applyFont="1"/>
    <xf numFmtId="0" fontId="2" fillId="0" borderId="0" xfId="0" applyFont="1" applyAlignment="1">
      <alignment horizontal="center" vertical="center"/>
    </xf>
    <xf numFmtId="0" fontId="0" fillId="0" borderId="0" xfId="0" applyAlignment="1">
      <alignment horizontal="left"/>
    </xf>
    <xf numFmtId="164" fontId="0" fillId="0" borderId="0" xfId="0" applyNumberFormat="1" applyAlignment="1">
      <alignment horizontal="right" vertical="center"/>
    </xf>
    <xf numFmtId="0" fontId="0" fillId="0" borderId="0" xfId="0" applyAlignment="1">
      <alignment horizontal="right"/>
    </xf>
    <xf numFmtId="0" fontId="0" fillId="0" borderId="0" xfId="0" applyAlignment="1">
      <alignment horizontal="right" vertical="center"/>
    </xf>
    <xf numFmtId="0" fontId="5" fillId="0" borderId="0" xfId="0" applyFont="1" applyAlignment="1">
      <alignment horizontal="right" vertical="center"/>
    </xf>
    <xf numFmtId="164" fontId="5" fillId="0" borderId="0" xfId="0" applyNumberFormat="1" applyFont="1" applyAlignment="1">
      <alignment horizontal="right" vertical="center"/>
    </xf>
    <xf numFmtId="1" fontId="5" fillId="0" borderId="0" xfId="0" applyNumberFormat="1" applyFont="1" applyAlignment="1">
      <alignment horizontal="right" vertical="center"/>
    </xf>
    <xf numFmtId="0" fontId="5" fillId="0" borderId="0" xfId="0" applyFont="1"/>
    <xf numFmtId="0" fontId="5" fillId="0" borderId="0" xfId="0" applyFont="1" applyAlignment="1">
      <alignment horizontal="right"/>
    </xf>
    <xf numFmtId="0" fontId="5" fillId="0" borderId="0" xfId="0" applyFont="1" applyAlignment="1">
      <alignment horizontal="left"/>
    </xf>
    <xf numFmtId="0" fontId="6" fillId="0" borderId="0" xfId="0" applyFont="1"/>
    <xf numFmtId="0" fontId="6" fillId="0" borderId="0" xfId="0" applyFont="1" applyAlignment="1">
      <alignment horizontal="right"/>
    </xf>
    <xf numFmtId="0" fontId="6" fillId="0" borderId="0" xfId="0" applyFont="1" applyAlignment="1">
      <alignment horizontal="left"/>
    </xf>
    <xf numFmtId="164" fontId="6" fillId="0" borderId="0" xfId="0" applyNumberFormat="1" applyFont="1" applyAlignment="1">
      <alignment horizontal="right" vertical="center"/>
    </xf>
    <xf numFmtId="0" fontId="6" fillId="0" borderId="0" xfId="0" applyFont="1" applyAlignment="1">
      <alignment horizontal="right" vertical="center"/>
    </xf>
    <xf numFmtId="1" fontId="5" fillId="0" borderId="1" xfId="0" applyNumberFormat="1" applyFont="1" applyBorder="1" applyAlignment="1">
      <alignment horizontal="right" vertical="center"/>
    </xf>
    <xf numFmtId="0" fontId="10" fillId="0" borderId="0" xfId="0" applyFont="1"/>
    <xf numFmtId="0" fontId="5" fillId="0" borderId="1" xfId="0" applyFont="1" applyBorder="1" applyAlignment="1">
      <alignment horizontal="center" vertical="center"/>
    </xf>
    <xf numFmtId="0" fontId="3" fillId="0" borderId="0" xfId="0" applyFont="1" applyAlignment="1">
      <alignment horizontal="left" vertical="center"/>
    </xf>
    <xf numFmtId="167" fontId="5" fillId="0" borderId="0" xfId="0" applyNumberFormat="1" applyFont="1" applyAlignment="1">
      <alignment horizontal="right" vertical="center"/>
    </xf>
    <xf numFmtId="1" fontId="5" fillId="0" borderId="1" xfId="0" applyNumberFormat="1" applyFont="1" applyBorder="1" applyAlignment="1">
      <alignment horizontal="center" vertical="center"/>
    </xf>
    <xf numFmtId="0" fontId="5" fillId="0" borderId="0" xfId="0" applyFont="1" applyAlignment="1">
      <alignment horizontal="left" vertical="center"/>
    </xf>
    <xf numFmtId="0" fontId="5" fillId="0" borderId="2" xfId="0" applyFont="1" applyBorder="1" applyAlignment="1">
      <alignment horizontal="left" vertical="center"/>
    </xf>
    <xf numFmtId="164" fontId="5" fillId="0" borderId="2" xfId="0" applyNumberFormat="1" applyFont="1" applyBorder="1" applyAlignment="1">
      <alignment horizontal="right" vertical="center"/>
    </xf>
    <xf numFmtId="0" fontId="5" fillId="0" borderId="3" xfId="0" applyFont="1" applyBorder="1" applyAlignment="1">
      <alignment horizontal="left" vertical="center"/>
    </xf>
    <xf numFmtId="164" fontId="5" fillId="0" borderId="3" xfId="0" applyNumberFormat="1" applyFont="1" applyBorder="1" applyAlignment="1">
      <alignment horizontal="right" vertical="center"/>
    </xf>
    <xf numFmtId="0" fontId="5" fillId="0" borderId="2" xfId="0" applyFont="1" applyBorder="1" applyAlignment="1">
      <alignment horizontal="right" vertical="center"/>
    </xf>
    <xf numFmtId="0" fontId="5" fillId="0" borderId="0" xfId="0" applyFont="1" applyAlignment="1">
      <alignment vertical="center"/>
    </xf>
    <xf numFmtId="0" fontId="7" fillId="0" borderId="0" xfId="0" applyFont="1" applyAlignment="1">
      <alignment horizontal="left" vertical="center"/>
    </xf>
    <xf numFmtId="0" fontId="7" fillId="0" borderId="0" xfId="0" applyFont="1" applyAlignment="1">
      <alignment horizontal="right" vertical="center"/>
    </xf>
    <xf numFmtId="2" fontId="7" fillId="0" borderId="0" xfId="0" applyNumberFormat="1" applyFont="1" applyAlignment="1">
      <alignment horizontal="right" vertical="center"/>
    </xf>
    <xf numFmtId="0" fontId="5" fillId="0" borderId="4" xfId="0" applyFont="1" applyBorder="1" applyAlignment="1">
      <alignment horizontal="left" vertical="center"/>
    </xf>
    <xf numFmtId="0" fontId="0" fillId="0" borderId="6" xfId="0" applyBorder="1" applyAlignment="1">
      <alignment horizontal="right"/>
    </xf>
    <xf numFmtId="0" fontId="0" fillId="0" borderId="3" xfId="0" applyBorder="1"/>
    <xf numFmtId="0" fontId="0" fillId="0" borderId="3" xfId="0" applyBorder="1" applyAlignment="1">
      <alignment horizontal="right"/>
    </xf>
    <xf numFmtId="0" fontId="0" fillId="0" borderId="3" xfId="0" applyBorder="1" applyAlignment="1">
      <alignment horizontal="left"/>
    </xf>
    <xf numFmtId="164" fontId="0" fillId="0" borderId="3" xfId="0" applyNumberFormat="1" applyBorder="1" applyAlignment="1">
      <alignment horizontal="right" vertical="center"/>
    </xf>
    <xf numFmtId="0" fontId="0" fillId="0" borderId="3" xfId="0" applyBorder="1" applyAlignment="1">
      <alignment horizontal="right" vertical="center"/>
    </xf>
    <xf numFmtId="0" fontId="0" fillId="0" borderId="7" xfId="0" applyBorder="1"/>
    <xf numFmtId="0" fontId="2" fillId="0" borderId="8" xfId="0" applyFont="1" applyBorder="1" applyAlignment="1">
      <alignment horizontal="center" vertical="center"/>
    </xf>
    <xf numFmtId="0" fontId="2" fillId="0" borderId="5" xfId="0" applyFont="1" applyBorder="1" applyAlignment="1">
      <alignment horizontal="center" vertical="center"/>
    </xf>
    <xf numFmtId="0" fontId="0" fillId="0" borderId="8" xfId="0" applyBorder="1" applyAlignment="1">
      <alignment horizontal="right"/>
    </xf>
    <xf numFmtId="0" fontId="8" fillId="0" borderId="0" xfId="0" applyFont="1" applyAlignment="1">
      <alignment horizontal="left" vertical="center" wrapText="1"/>
    </xf>
    <xf numFmtId="0" fontId="8" fillId="0" borderId="0" xfId="0" applyFont="1" applyAlignment="1">
      <alignment horizontal="right" vertical="center" wrapText="1"/>
    </xf>
    <xf numFmtId="0" fontId="0" fillId="0" borderId="5" xfId="0" applyBorder="1"/>
    <xf numFmtId="0" fontId="0" fillId="0" borderId="8" xfId="0" applyBorder="1" applyAlignment="1">
      <alignment horizontal="center" vertical="center"/>
    </xf>
    <xf numFmtId="0" fontId="5" fillId="0" borderId="0" xfId="0" applyFont="1" applyAlignment="1">
      <alignment horizontal="center" vertical="center"/>
    </xf>
    <xf numFmtId="0" fontId="5" fillId="0" borderId="5" xfId="0" applyFont="1" applyBorder="1" applyAlignment="1">
      <alignment horizontal="center" vertical="center"/>
    </xf>
    <xf numFmtId="0" fontId="9" fillId="8" borderId="0" xfId="0" applyFont="1" applyFill="1" applyAlignment="1">
      <alignment vertical="center"/>
    </xf>
    <xf numFmtId="0" fontId="5" fillId="0" borderId="5" xfId="0" applyFont="1" applyBorder="1"/>
    <xf numFmtId="0" fontId="0" fillId="0" borderId="9" xfId="0" applyBorder="1"/>
    <xf numFmtId="0" fontId="5" fillId="0" borderId="2" xfId="0" applyFont="1" applyBorder="1"/>
    <xf numFmtId="0" fontId="5" fillId="0" borderId="2" xfId="0" applyFont="1" applyBorder="1" applyAlignment="1">
      <alignment horizontal="right"/>
    </xf>
    <xf numFmtId="0" fontId="5" fillId="0" borderId="2" xfId="0" applyFont="1" applyBorder="1" applyAlignment="1">
      <alignment horizontal="left"/>
    </xf>
    <xf numFmtId="1" fontId="5" fillId="0" borderId="2" xfId="0" applyNumberFormat="1" applyFont="1" applyBorder="1" applyAlignment="1">
      <alignment horizontal="right" vertical="center"/>
    </xf>
    <xf numFmtId="0" fontId="5" fillId="0" borderId="4" xfId="0" applyFont="1" applyBorder="1"/>
    <xf numFmtId="2" fontId="5" fillId="0" borderId="0" xfId="0" applyNumberFormat="1" applyFont="1" applyAlignment="1">
      <alignment horizontal="right" vertical="center"/>
    </xf>
    <xf numFmtId="0" fontId="0" fillId="3" borderId="0" xfId="0" applyFill="1"/>
    <xf numFmtId="2" fontId="0" fillId="3" borderId="0" xfId="0" applyNumberFormat="1" applyFill="1"/>
    <xf numFmtId="166" fontId="0" fillId="3" borderId="0" xfId="0" applyNumberFormat="1" applyFill="1"/>
    <xf numFmtId="4" fontId="0" fillId="2" borderId="0" xfId="0" applyNumberFormat="1" applyFill="1"/>
    <xf numFmtId="2" fontId="0" fillId="2" borderId="0" xfId="0" applyNumberFormat="1" applyFill="1"/>
    <xf numFmtId="2" fontId="0" fillId="9" borderId="0" xfId="0" applyNumberFormat="1" applyFill="1"/>
    <xf numFmtId="0" fontId="0" fillId="0" borderId="0" xfId="0" applyAlignment="1">
      <alignment horizontal="center"/>
    </xf>
    <xf numFmtId="0" fontId="0" fillId="4" borderId="0" xfId="0" applyFill="1"/>
    <xf numFmtId="2" fontId="0" fillId="4" borderId="0" xfId="0" applyNumberFormat="1" applyFill="1"/>
    <xf numFmtId="164" fontId="0" fillId="4" borderId="0" xfId="0" applyNumberFormat="1" applyFill="1"/>
    <xf numFmtId="0" fontId="9" fillId="7" borderId="1" xfId="0" applyFont="1" applyFill="1" applyBorder="1" applyAlignment="1">
      <alignment horizontal="center" vertical="center"/>
    </xf>
    <xf numFmtId="0" fontId="3" fillId="0" borderId="0" xfId="0" applyFont="1" applyAlignment="1">
      <alignment horizontal="center" vertical="center"/>
    </xf>
    <xf numFmtId="0" fontId="1" fillId="5" borderId="0" xfId="0" applyFont="1" applyFill="1" applyAlignment="1">
      <alignment horizontal="center"/>
    </xf>
    <xf numFmtId="0" fontId="1" fillId="6" borderId="0" xfId="0" applyFont="1" applyFill="1" applyAlignment="1">
      <alignment horizontal="center"/>
    </xf>
    <xf numFmtId="0" fontId="1" fillId="4" borderId="0" xfId="0" applyFont="1" applyFill="1" applyAlignment="1">
      <alignment horizontal="center"/>
    </xf>
    <xf numFmtId="164" fontId="0" fillId="3" borderId="0" xfId="0" applyNumberFormat="1" applyFill="1"/>
  </cellXfs>
  <cellStyles count="1">
    <cellStyle name="Standard" xfId="0" builtinId="0"/>
  </cellStyles>
  <dxfs count="0"/>
  <tableStyles count="0" defaultTableStyle="TableStyleMedium2" defaultPivotStyle="PivotStyleLight16"/>
  <colors>
    <mruColors>
      <color rgb="FFE83382"/>
      <color rgb="FFF26235"/>
      <color rgb="FFEC4C59"/>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2</xdr:col>
      <xdr:colOff>681403</xdr:colOff>
      <xdr:row>1</xdr:row>
      <xdr:rowOff>183173</xdr:rowOff>
    </xdr:from>
    <xdr:to>
      <xdr:col>5</xdr:col>
      <xdr:colOff>9525</xdr:colOff>
      <xdr:row>3</xdr:row>
      <xdr:rowOff>14654</xdr:rowOff>
    </xdr:to>
    <xdr:sp macro="" textlink="">
      <xdr:nvSpPr>
        <xdr:cNvPr id="2" name="Rechteck: diagonal liegende Ecken abgerundet 1">
          <a:extLst>
            <a:ext uri="{FF2B5EF4-FFF2-40B4-BE49-F238E27FC236}">
              <a16:creationId xmlns:a16="http://schemas.microsoft.com/office/drawing/2014/main" id="{785F4373-7C99-9A11-38FA-14941F6DE9C8}"/>
            </a:ext>
          </a:extLst>
        </xdr:cNvPr>
        <xdr:cNvSpPr/>
      </xdr:nvSpPr>
      <xdr:spPr>
        <a:xfrm>
          <a:off x="2624503" y="373673"/>
          <a:ext cx="2376122"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FAHRZEUGWERTE</a:t>
          </a:r>
        </a:p>
      </xdr:txBody>
    </xdr:sp>
    <xdr:clientData/>
  </xdr:twoCellAnchor>
  <xdr:twoCellAnchor>
    <xdr:from>
      <xdr:col>7</xdr:col>
      <xdr:colOff>217609</xdr:colOff>
      <xdr:row>2</xdr:row>
      <xdr:rowOff>0</xdr:rowOff>
    </xdr:from>
    <xdr:to>
      <xdr:col>10</xdr:col>
      <xdr:colOff>28575</xdr:colOff>
      <xdr:row>3</xdr:row>
      <xdr:rowOff>21981</xdr:rowOff>
    </xdr:to>
    <xdr:sp macro="" textlink="">
      <xdr:nvSpPr>
        <xdr:cNvPr id="3" name="Rechteck: diagonal liegende Ecken abgerundet 2">
          <a:extLst>
            <a:ext uri="{FF2B5EF4-FFF2-40B4-BE49-F238E27FC236}">
              <a16:creationId xmlns:a16="http://schemas.microsoft.com/office/drawing/2014/main" id="{2448F689-CE59-4BD9-9E73-1081238476B2}"/>
            </a:ext>
          </a:extLst>
        </xdr:cNvPr>
        <xdr:cNvSpPr/>
      </xdr:nvSpPr>
      <xdr:spPr>
        <a:xfrm>
          <a:off x="4275259" y="381000"/>
          <a:ext cx="2992316"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REIFEN</a:t>
          </a:r>
        </a:p>
      </xdr:txBody>
    </xdr:sp>
    <xdr:clientData/>
  </xdr:twoCellAnchor>
  <xdr:twoCellAnchor>
    <xdr:from>
      <xdr:col>13</xdr:col>
      <xdr:colOff>0</xdr:colOff>
      <xdr:row>2</xdr:row>
      <xdr:rowOff>0</xdr:rowOff>
    </xdr:from>
    <xdr:to>
      <xdr:col>15</xdr:col>
      <xdr:colOff>38100</xdr:colOff>
      <xdr:row>3</xdr:row>
      <xdr:rowOff>21981</xdr:rowOff>
    </xdr:to>
    <xdr:sp macro="" textlink="">
      <xdr:nvSpPr>
        <xdr:cNvPr id="4" name="Rechteck: diagonal liegende Ecken abgerundet 3">
          <a:extLst>
            <a:ext uri="{FF2B5EF4-FFF2-40B4-BE49-F238E27FC236}">
              <a16:creationId xmlns:a16="http://schemas.microsoft.com/office/drawing/2014/main" id="{8237EEF8-B8E4-4CB7-9E13-8B2B0961A84C}"/>
            </a:ext>
          </a:extLst>
        </xdr:cNvPr>
        <xdr:cNvSpPr/>
      </xdr:nvSpPr>
      <xdr:spPr>
        <a:xfrm>
          <a:off x="7896225" y="381000"/>
          <a:ext cx="3000375" cy="460131"/>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SPUR</a:t>
          </a:r>
        </a:p>
      </xdr:txBody>
    </xdr:sp>
    <xdr:clientData/>
  </xdr:twoCellAnchor>
  <xdr:twoCellAnchor>
    <xdr:from>
      <xdr:col>18</xdr:col>
      <xdr:colOff>0</xdr:colOff>
      <xdr:row>2</xdr:row>
      <xdr:rowOff>0</xdr:rowOff>
    </xdr:from>
    <xdr:to>
      <xdr:col>20</xdr:col>
      <xdr:colOff>9525</xdr:colOff>
      <xdr:row>3</xdr:row>
      <xdr:rowOff>21981</xdr:rowOff>
    </xdr:to>
    <xdr:sp macro="" textlink="">
      <xdr:nvSpPr>
        <xdr:cNvPr id="5" name="Rechteck: diagonal liegende Ecken abgerundet 4">
          <a:extLst>
            <a:ext uri="{FF2B5EF4-FFF2-40B4-BE49-F238E27FC236}">
              <a16:creationId xmlns:a16="http://schemas.microsoft.com/office/drawing/2014/main" id="{6C53B977-8A67-467E-B7F8-2B9855BB3492}"/>
            </a:ext>
          </a:extLst>
        </xdr:cNvPr>
        <xdr:cNvSpPr/>
      </xdr:nvSpPr>
      <xdr:spPr>
        <a:xfrm>
          <a:off x="15849600" y="381000"/>
          <a:ext cx="237172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STABILISATOREN</a:t>
          </a:r>
        </a:p>
      </xdr:txBody>
    </xdr:sp>
    <xdr:clientData/>
  </xdr:twoCellAnchor>
  <xdr:twoCellAnchor>
    <xdr:from>
      <xdr:col>23</xdr:col>
      <xdr:colOff>2930</xdr:colOff>
      <xdr:row>2</xdr:row>
      <xdr:rowOff>0</xdr:rowOff>
    </xdr:from>
    <xdr:to>
      <xdr:col>25</xdr:col>
      <xdr:colOff>9525</xdr:colOff>
      <xdr:row>3</xdr:row>
      <xdr:rowOff>21981</xdr:rowOff>
    </xdr:to>
    <xdr:sp macro="" textlink="">
      <xdr:nvSpPr>
        <xdr:cNvPr id="6" name="Rechteck: diagonal liegende Ecken abgerundet 5">
          <a:extLst>
            <a:ext uri="{FF2B5EF4-FFF2-40B4-BE49-F238E27FC236}">
              <a16:creationId xmlns:a16="http://schemas.microsoft.com/office/drawing/2014/main" id="{C97F1E3D-3142-44C1-9506-7ADF38574B01}"/>
            </a:ext>
          </a:extLst>
        </xdr:cNvPr>
        <xdr:cNvSpPr/>
      </xdr:nvSpPr>
      <xdr:spPr>
        <a:xfrm>
          <a:off x="20300705" y="381000"/>
          <a:ext cx="2368795"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FEDERN</a:t>
          </a:r>
        </a:p>
      </xdr:txBody>
    </xdr:sp>
    <xdr:clientData/>
  </xdr:twoCellAnchor>
  <xdr:twoCellAnchor>
    <xdr:from>
      <xdr:col>28</xdr:col>
      <xdr:colOff>0</xdr:colOff>
      <xdr:row>2</xdr:row>
      <xdr:rowOff>0</xdr:rowOff>
    </xdr:from>
    <xdr:to>
      <xdr:col>30</xdr:col>
      <xdr:colOff>0</xdr:colOff>
      <xdr:row>3</xdr:row>
      <xdr:rowOff>21981</xdr:rowOff>
    </xdr:to>
    <xdr:sp macro="" textlink="">
      <xdr:nvSpPr>
        <xdr:cNvPr id="7" name="Rechteck: diagonal liegende Ecken abgerundet 6">
          <a:extLst>
            <a:ext uri="{FF2B5EF4-FFF2-40B4-BE49-F238E27FC236}">
              <a16:creationId xmlns:a16="http://schemas.microsoft.com/office/drawing/2014/main" id="{A2B2A0CC-ECF0-4F2B-B7D4-0C07D05AB7F0}"/>
            </a:ext>
          </a:extLst>
        </xdr:cNvPr>
        <xdr:cNvSpPr/>
      </xdr:nvSpPr>
      <xdr:spPr>
        <a:xfrm>
          <a:off x="16158882" y="414618"/>
          <a:ext cx="2958353" cy="459010"/>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DÄMPFUNG</a:t>
          </a:r>
        </a:p>
      </xdr:txBody>
    </xdr:sp>
    <xdr:clientData/>
  </xdr:twoCellAnchor>
  <xdr:twoCellAnchor>
    <xdr:from>
      <xdr:col>33</xdr:col>
      <xdr:colOff>0</xdr:colOff>
      <xdr:row>2</xdr:row>
      <xdr:rowOff>0</xdr:rowOff>
    </xdr:from>
    <xdr:to>
      <xdr:col>35</xdr:col>
      <xdr:colOff>0</xdr:colOff>
      <xdr:row>3</xdr:row>
      <xdr:rowOff>21981</xdr:rowOff>
    </xdr:to>
    <xdr:sp macro="" textlink="">
      <xdr:nvSpPr>
        <xdr:cNvPr id="8" name="Rechteck: diagonal liegende Ecken abgerundet 7">
          <a:extLst>
            <a:ext uri="{FF2B5EF4-FFF2-40B4-BE49-F238E27FC236}">
              <a16:creationId xmlns:a16="http://schemas.microsoft.com/office/drawing/2014/main" id="{D71FB985-F2A7-4D29-B0E7-5F48072FEEA1}"/>
            </a:ext>
          </a:extLst>
        </xdr:cNvPr>
        <xdr:cNvSpPr/>
      </xdr:nvSpPr>
      <xdr:spPr>
        <a:xfrm>
          <a:off x="29194125" y="381000"/>
          <a:ext cx="236220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BREMSE</a:t>
          </a:r>
        </a:p>
      </xdr:txBody>
    </xdr:sp>
    <xdr:clientData/>
  </xdr:twoCellAnchor>
  <xdr:twoCellAnchor>
    <xdr:from>
      <xdr:col>38</xdr:col>
      <xdr:colOff>0</xdr:colOff>
      <xdr:row>2</xdr:row>
      <xdr:rowOff>0</xdr:rowOff>
    </xdr:from>
    <xdr:to>
      <xdr:col>40</xdr:col>
      <xdr:colOff>19050</xdr:colOff>
      <xdr:row>3</xdr:row>
      <xdr:rowOff>21981</xdr:rowOff>
    </xdr:to>
    <xdr:sp macro="" textlink="">
      <xdr:nvSpPr>
        <xdr:cNvPr id="9" name="Rechteck: diagonal liegende Ecken abgerundet 8">
          <a:extLst>
            <a:ext uri="{FF2B5EF4-FFF2-40B4-BE49-F238E27FC236}">
              <a16:creationId xmlns:a16="http://schemas.microsoft.com/office/drawing/2014/main" id="{A57754F3-C257-4B2E-B7AD-3BDC4F0740FC}"/>
            </a:ext>
          </a:extLst>
        </xdr:cNvPr>
        <xdr:cNvSpPr/>
      </xdr:nvSpPr>
      <xdr:spPr>
        <a:xfrm>
          <a:off x="33870900" y="381000"/>
          <a:ext cx="2381250" cy="355356"/>
        </a:xfrm>
        <a:prstGeom prst="round2DiagRect">
          <a:avLst/>
        </a:prstGeom>
        <a:gradFill flip="none" rotWithShape="1">
          <a:gsLst>
            <a:gs pos="0">
              <a:srgbClr val="E83382"/>
            </a:gs>
            <a:gs pos="50000">
              <a:srgbClr val="EC4C59"/>
            </a:gs>
            <a:gs pos="100000">
              <a:srgbClr val="F26235"/>
            </a:gs>
          </a:gsLst>
          <a:lin ang="0" scaled="1"/>
          <a:tileRect/>
        </a:gradFill>
        <a:ln>
          <a:no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2400">
              <a:latin typeface="Futura Extra Black Condensed" pitchFamily="50" charset="0"/>
            </a:rPr>
            <a:t>DIFFERENZIAL</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478194-FD2C-4D4A-AEF6-E97AF1DAA0A6}">
  <dimension ref="C2:AO23"/>
  <sheetViews>
    <sheetView showGridLines="0" tabSelected="1" zoomScale="85" zoomScaleNormal="85" workbookViewId="0">
      <selection activeCell="B24" sqref="B24"/>
    </sheetView>
  </sheetViews>
  <sheetFormatPr baseColWidth="10" defaultRowHeight="15" x14ac:dyDescent="0.25"/>
  <cols>
    <col min="1" max="2" width="1" customWidth="1"/>
    <col min="3" max="3" width="3.28515625" style="18" customWidth="1"/>
    <col min="4" max="4" width="28.5703125" bestFit="1" customWidth="1"/>
    <col min="5" max="5" width="19.140625" customWidth="1"/>
    <col min="6" max="7" width="1.42578125" customWidth="1"/>
    <col min="8" max="8" width="2.28515625" style="18" customWidth="1"/>
    <col min="9" max="9" width="26.7109375" customWidth="1"/>
    <col min="10" max="10" width="17.7109375" customWidth="1"/>
    <col min="11" max="11" width="1.42578125" customWidth="1"/>
    <col min="12" max="12" width="1.42578125" style="16" customWidth="1"/>
    <col min="13" max="13" width="2.28515625" style="17" customWidth="1"/>
    <col min="14" max="14" width="26.7109375" customWidth="1"/>
    <col min="15" max="15" width="17.7109375" customWidth="1"/>
    <col min="16" max="16" width="1.42578125" customWidth="1"/>
    <col min="17" max="17" width="1.42578125" style="16" customWidth="1"/>
    <col min="18" max="18" width="2.28515625" style="17" customWidth="1"/>
    <col min="19" max="19" width="26.7109375" customWidth="1"/>
    <col min="20" max="20" width="17.7109375" customWidth="1"/>
    <col min="21" max="21" width="1.42578125" customWidth="1"/>
    <col min="22" max="22" width="1.42578125" style="16" customWidth="1"/>
    <col min="23" max="23" width="2.28515625" style="17" customWidth="1"/>
    <col min="24" max="24" width="26.7109375" customWidth="1"/>
    <col min="25" max="25" width="17.7109375" customWidth="1"/>
    <col min="26" max="26" width="1.42578125" customWidth="1"/>
    <col min="27" max="27" width="1.42578125" style="16" customWidth="1"/>
    <col min="28" max="28" width="2.28515625" style="17" customWidth="1"/>
    <col min="29" max="29" width="26.7109375" customWidth="1"/>
    <col min="30" max="30" width="17.7109375" customWidth="1"/>
    <col min="31" max="31" width="1.42578125" customWidth="1"/>
    <col min="32" max="32" width="1.42578125" style="16" customWidth="1"/>
    <col min="33" max="33" width="2.28515625" style="19" customWidth="1"/>
    <col min="34" max="34" width="26.7109375" customWidth="1"/>
    <col min="35" max="35" width="17.7109375" customWidth="1"/>
    <col min="36" max="36" width="1.42578125" customWidth="1"/>
    <col min="37" max="37" width="1.42578125" style="16" customWidth="1"/>
    <col min="38" max="38" width="2.28515625" style="19" customWidth="1"/>
    <col min="39" max="39" width="26.7109375" customWidth="1"/>
    <col min="40" max="40" width="17.7109375" customWidth="1"/>
    <col min="41" max="41" width="3.28515625" customWidth="1"/>
  </cols>
  <sheetData>
    <row r="2" spans="3:41" ht="16.5" customHeight="1" x14ac:dyDescent="0.25">
      <c r="C2" s="48"/>
      <c r="D2" s="49"/>
      <c r="E2" s="49"/>
      <c r="F2" s="49"/>
      <c r="G2" s="49"/>
      <c r="H2" s="50"/>
      <c r="I2" s="49"/>
      <c r="J2" s="49"/>
      <c r="K2" s="49"/>
      <c r="L2" s="51"/>
      <c r="M2" s="52"/>
      <c r="N2" s="49"/>
      <c r="O2" s="49"/>
      <c r="P2" s="49"/>
      <c r="Q2" s="51"/>
      <c r="R2" s="52"/>
      <c r="S2" s="49"/>
      <c r="T2" s="49"/>
      <c r="U2" s="49"/>
      <c r="V2" s="51"/>
      <c r="W2" s="52"/>
      <c r="X2" s="49"/>
      <c r="Y2" s="49"/>
      <c r="Z2" s="49"/>
      <c r="AA2" s="51"/>
      <c r="AB2" s="52"/>
      <c r="AC2" s="49"/>
      <c r="AD2" s="49"/>
      <c r="AE2" s="49"/>
      <c r="AF2" s="51"/>
      <c r="AG2" s="53"/>
      <c r="AH2" s="49"/>
      <c r="AI2" s="49"/>
      <c r="AJ2" s="49"/>
      <c r="AK2" s="51"/>
      <c r="AL2" s="53"/>
      <c r="AM2" s="49"/>
      <c r="AN2" s="49"/>
      <c r="AO2" s="54"/>
    </row>
    <row r="3" spans="3:41" s="15" customFormat="1" ht="35.1" customHeight="1" x14ac:dyDescent="0.25">
      <c r="C3" s="55"/>
      <c r="D3" s="84"/>
      <c r="E3" s="84"/>
      <c r="I3" s="84"/>
      <c r="J3" s="84"/>
      <c r="N3" s="84"/>
      <c r="O3" s="84"/>
      <c r="S3" s="84"/>
      <c r="T3" s="84"/>
      <c r="X3" s="84"/>
      <c r="Y3" s="84"/>
      <c r="AC3" s="84"/>
      <c r="AD3" s="84"/>
      <c r="AH3" s="84"/>
      <c r="AI3" s="84"/>
      <c r="AM3" s="84"/>
      <c r="AN3" s="84"/>
      <c r="AO3" s="56"/>
    </row>
    <row r="4" spans="3:41" ht="25.5" x14ac:dyDescent="0.25">
      <c r="C4" s="57"/>
      <c r="D4" s="58"/>
      <c r="E4" s="59" t="s">
        <v>93</v>
      </c>
      <c r="H4"/>
      <c r="I4" s="59"/>
      <c r="J4" s="59" t="s">
        <v>93</v>
      </c>
      <c r="L4"/>
      <c r="M4"/>
      <c r="N4" s="58"/>
      <c r="O4" s="59" t="s">
        <v>93</v>
      </c>
      <c r="Q4"/>
      <c r="R4"/>
      <c r="S4" s="58"/>
      <c r="T4" s="59" t="s">
        <v>93</v>
      </c>
      <c r="V4"/>
      <c r="W4"/>
      <c r="X4" s="58"/>
      <c r="Y4" s="59" t="s">
        <v>93</v>
      </c>
      <c r="AA4"/>
      <c r="AB4"/>
      <c r="AC4" s="58"/>
      <c r="AD4" s="59" t="s">
        <v>93</v>
      </c>
      <c r="AF4"/>
      <c r="AG4"/>
      <c r="AH4" s="58"/>
      <c r="AI4" s="59" t="s">
        <v>93</v>
      </c>
      <c r="AK4"/>
      <c r="AL4"/>
      <c r="AM4" s="58"/>
      <c r="AN4" s="59" t="s">
        <v>93</v>
      </c>
      <c r="AO4" s="60"/>
    </row>
    <row r="5" spans="3:41" ht="6.95" customHeight="1" x14ac:dyDescent="0.25">
      <c r="C5" s="57"/>
      <c r="E5" s="18"/>
      <c r="H5"/>
      <c r="J5" s="18"/>
      <c r="L5"/>
      <c r="M5"/>
      <c r="N5" s="16"/>
      <c r="O5" s="17"/>
      <c r="Q5"/>
      <c r="R5"/>
      <c r="S5" s="16"/>
      <c r="T5" s="17"/>
      <c r="V5"/>
      <c r="W5"/>
      <c r="X5" s="16"/>
      <c r="Y5" s="17"/>
      <c r="AA5"/>
      <c r="AB5"/>
      <c r="AC5" s="16"/>
      <c r="AD5" s="17"/>
      <c r="AF5"/>
      <c r="AG5"/>
      <c r="AH5" s="16"/>
      <c r="AI5" s="19"/>
      <c r="AK5"/>
      <c r="AL5"/>
      <c r="AM5" s="16"/>
      <c r="AN5" s="19"/>
      <c r="AO5" s="60"/>
    </row>
    <row r="6" spans="3:41" s="11" customFormat="1" ht="18" customHeight="1" x14ac:dyDescent="0.25">
      <c r="C6" s="61"/>
      <c r="D6" s="44" t="s">
        <v>66</v>
      </c>
      <c r="E6" s="45">
        <v>1250</v>
      </c>
      <c r="F6" s="62"/>
      <c r="G6" s="62"/>
      <c r="H6" s="62"/>
      <c r="I6" s="38" t="s">
        <v>36</v>
      </c>
      <c r="J6" s="42" t="s">
        <v>97</v>
      </c>
      <c r="N6" s="38" t="s">
        <v>80</v>
      </c>
      <c r="O6" s="39"/>
      <c r="P6" s="62"/>
      <c r="Q6" s="62"/>
      <c r="R6" s="62"/>
      <c r="S6" s="37" t="s">
        <v>82</v>
      </c>
      <c r="T6" s="21"/>
      <c r="U6" s="62"/>
      <c r="V6" s="62"/>
      <c r="W6" s="62"/>
      <c r="X6" s="38" t="s">
        <v>8</v>
      </c>
      <c r="Y6" s="39" t="s">
        <v>95</v>
      </c>
      <c r="Z6" s="62"/>
      <c r="AA6" s="62"/>
      <c r="AB6" s="62"/>
      <c r="AC6" s="38" t="s">
        <v>83</v>
      </c>
      <c r="AD6" s="39"/>
      <c r="AE6" s="62"/>
      <c r="AF6" s="62"/>
      <c r="AG6" s="62"/>
      <c r="AH6" s="38" t="s">
        <v>61</v>
      </c>
      <c r="AI6" s="42"/>
      <c r="AJ6" s="62"/>
      <c r="AK6" s="62"/>
      <c r="AL6" s="62"/>
      <c r="AM6" s="38" t="s">
        <v>54</v>
      </c>
      <c r="AN6" s="42"/>
      <c r="AO6" s="63"/>
    </row>
    <row r="7" spans="3:41" s="11" customFormat="1" ht="18" customHeight="1" x14ac:dyDescent="0.25">
      <c r="C7" s="61"/>
      <c r="D7" s="44" t="s">
        <v>1</v>
      </c>
      <c r="E7" s="45">
        <v>50</v>
      </c>
      <c r="F7" s="62"/>
      <c r="G7" s="62"/>
      <c r="H7" s="62"/>
      <c r="I7" s="37" t="s">
        <v>54</v>
      </c>
      <c r="J7" s="72">
        <f>CALC!G14</f>
        <v>1.8043042500000004</v>
      </c>
      <c r="K7" s="62"/>
      <c r="L7" s="62"/>
      <c r="M7" s="62"/>
      <c r="N7" s="37" t="s">
        <v>54</v>
      </c>
      <c r="O7" s="21">
        <f>CALC!K12*-1</f>
        <v>-1</v>
      </c>
      <c r="P7" s="62"/>
      <c r="Q7" s="62"/>
      <c r="R7" s="62"/>
      <c r="S7" s="40" t="s">
        <v>54</v>
      </c>
      <c r="T7" s="41">
        <f>CALC!O46</f>
        <v>12.366391463999999</v>
      </c>
      <c r="U7" s="62"/>
      <c r="V7" s="62"/>
      <c r="W7" s="62"/>
      <c r="X7" s="37" t="s">
        <v>54</v>
      </c>
      <c r="Y7" s="21">
        <f>CALC!S38</f>
        <v>103.6678639733525</v>
      </c>
      <c r="Z7" s="62"/>
      <c r="AA7" s="62"/>
      <c r="AB7" s="62"/>
      <c r="AC7" s="37" t="s">
        <v>54</v>
      </c>
      <c r="AD7" s="21">
        <f>CALC!W18</f>
        <v>10.475594930468747</v>
      </c>
      <c r="AE7" s="62"/>
      <c r="AF7" s="62"/>
      <c r="AG7" s="62"/>
      <c r="AH7" s="37" t="s">
        <v>23</v>
      </c>
      <c r="AI7" s="22">
        <f>CALC!AA16</f>
        <v>54</v>
      </c>
      <c r="AJ7" s="43"/>
      <c r="AK7" s="43"/>
      <c r="AL7" s="62"/>
      <c r="AM7" s="37" t="s">
        <v>85</v>
      </c>
      <c r="AN7" s="22" t="str">
        <f>IF(E12="RWD","–",IF(E12="AWD",CALC!AE29,CALC!AE29))</f>
        <v>–</v>
      </c>
      <c r="AO7" s="63"/>
    </row>
    <row r="8" spans="3:41" s="11" customFormat="1" ht="18" customHeight="1" x14ac:dyDescent="0.25">
      <c r="C8" s="61"/>
      <c r="D8" s="44" t="s">
        <v>3</v>
      </c>
      <c r="E8" s="45">
        <v>225</v>
      </c>
      <c r="F8" s="62"/>
      <c r="G8" s="62"/>
      <c r="H8" s="62"/>
      <c r="I8" s="37" t="s">
        <v>55</v>
      </c>
      <c r="J8" s="72">
        <f>CALC!G15</f>
        <v>1.8043042500000004</v>
      </c>
      <c r="N8" s="37" t="s">
        <v>55</v>
      </c>
      <c r="O8" s="21">
        <f>CALC!K13*-1</f>
        <v>-1.2000000000000002</v>
      </c>
      <c r="P8" s="62"/>
      <c r="Q8" s="62"/>
      <c r="R8" s="62"/>
      <c r="S8" s="37" t="s">
        <v>55</v>
      </c>
      <c r="T8" s="21">
        <f>CALC!O47</f>
        <v>33.666852399999996</v>
      </c>
      <c r="U8" s="62"/>
      <c r="V8" s="62"/>
      <c r="W8" s="62"/>
      <c r="X8" s="37" t="s">
        <v>55</v>
      </c>
      <c r="Y8" s="21">
        <f>CALC!S39</f>
        <v>104.90226852640566</v>
      </c>
      <c r="Z8" s="62"/>
      <c r="AA8" s="62"/>
      <c r="AB8" s="62"/>
      <c r="AC8" s="37" t="s">
        <v>55</v>
      </c>
      <c r="AD8" s="21">
        <f>CALC!W19</f>
        <v>10.600331001826747</v>
      </c>
      <c r="AE8" s="62"/>
      <c r="AF8" s="62"/>
      <c r="AG8" s="62"/>
      <c r="AL8" s="62"/>
      <c r="AM8" s="37" t="s">
        <v>62</v>
      </c>
      <c r="AN8" s="22" t="str">
        <f>IF(E12="RWD","–",IF(E12="AWD",CALC!AE33,CALC!AE33))</f>
        <v>–</v>
      </c>
      <c r="AO8" s="63"/>
    </row>
    <row r="9" spans="3:41" s="11" customFormat="1" ht="18" customHeight="1" x14ac:dyDescent="0.25">
      <c r="C9" s="61"/>
      <c r="D9" s="44" t="s">
        <v>2</v>
      </c>
      <c r="E9" s="45">
        <v>225</v>
      </c>
      <c r="F9" s="62"/>
      <c r="G9" s="62"/>
      <c r="H9" s="62"/>
      <c r="I9" s="37"/>
      <c r="J9" s="20"/>
      <c r="K9" s="62"/>
      <c r="L9" s="62"/>
      <c r="M9" s="62"/>
      <c r="N9" s="37"/>
      <c r="O9" s="21"/>
      <c r="P9" s="62"/>
      <c r="Q9" s="62"/>
      <c r="R9" s="62"/>
      <c r="S9" s="37"/>
      <c r="T9" s="21"/>
      <c r="U9" s="62"/>
      <c r="V9" s="62"/>
      <c r="W9" s="62"/>
      <c r="X9" s="37"/>
      <c r="Y9" s="21"/>
      <c r="Z9" s="62"/>
      <c r="AA9" s="62"/>
      <c r="AB9" s="62"/>
      <c r="AC9" s="37"/>
      <c r="AD9" s="21"/>
      <c r="AE9" s="62"/>
      <c r="AF9" s="62"/>
      <c r="AG9" s="62"/>
      <c r="AH9" s="37"/>
      <c r="AI9" s="22"/>
      <c r="AJ9" s="62"/>
      <c r="AK9" s="62"/>
      <c r="AL9" s="62"/>
      <c r="AM9" s="37"/>
      <c r="AN9" s="20"/>
      <c r="AO9" s="63"/>
    </row>
    <row r="10" spans="3:41" s="11" customFormat="1" ht="18" customHeight="1" x14ac:dyDescent="0.25">
      <c r="C10" s="61"/>
      <c r="D10" s="44" t="s">
        <v>4</v>
      </c>
      <c r="E10" s="46">
        <v>0.37</v>
      </c>
      <c r="F10" s="62"/>
      <c r="G10" s="62"/>
      <c r="H10" s="62"/>
      <c r="I10" s="47" t="s">
        <v>35</v>
      </c>
      <c r="J10" s="33" t="s">
        <v>109</v>
      </c>
      <c r="K10" s="83" t="s">
        <v>87</v>
      </c>
      <c r="L10" s="83"/>
      <c r="M10" s="64"/>
      <c r="N10" s="38" t="s">
        <v>30</v>
      </c>
      <c r="O10" s="39"/>
      <c r="P10" s="62"/>
      <c r="Q10" s="62"/>
      <c r="R10" s="62"/>
      <c r="S10" s="37"/>
      <c r="T10" s="21"/>
      <c r="U10" s="62"/>
      <c r="V10" s="62"/>
      <c r="W10" s="62"/>
      <c r="X10" s="38" t="s">
        <v>58</v>
      </c>
      <c r="Y10" s="39"/>
      <c r="Z10" s="62"/>
      <c r="AA10" s="62"/>
      <c r="AB10" s="62"/>
      <c r="AC10" s="38" t="s">
        <v>84</v>
      </c>
      <c r="AD10" s="39"/>
      <c r="AE10" s="62"/>
      <c r="AF10" s="62"/>
      <c r="AG10" s="62"/>
      <c r="AH10" s="38" t="s">
        <v>61</v>
      </c>
      <c r="AI10" s="42"/>
      <c r="AJ10" s="62"/>
      <c r="AK10" s="62"/>
      <c r="AL10" s="62"/>
      <c r="AM10" s="38" t="s">
        <v>55</v>
      </c>
      <c r="AN10" s="42"/>
      <c r="AO10" s="63"/>
    </row>
    <row r="11" spans="3:41" s="11" customFormat="1" ht="18" customHeight="1" x14ac:dyDescent="0.25">
      <c r="C11" s="61"/>
      <c r="D11" s="37"/>
      <c r="E11" s="20"/>
      <c r="F11" s="62"/>
      <c r="G11" s="62"/>
      <c r="H11" s="62"/>
      <c r="K11" s="62"/>
      <c r="L11" s="62"/>
      <c r="M11" s="62"/>
      <c r="N11" s="37" t="s">
        <v>54</v>
      </c>
      <c r="O11" s="21">
        <f>CALC!K18</f>
        <v>0</v>
      </c>
      <c r="P11" s="62"/>
      <c r="Q11" s="62"/>
      <c r="R11" s="62"/>
      <c r="S11" s="37"/>
      <c r="T11" s="21"/>
      <c r="U11" s="62"/>
      <c r="V11" s="62"/>
      <c r="W11" s="62"/>
      <c r="X11" s="37" t="s">
        <v>54</v>
      </c>
      <c r="Y11" s="21" t="str">
        <f>IF(E14="Asphalt","+1 Klick","MAX")</f>
        <v>+1 Klick</v>
      </c>
      <c r="Z11" s="62"/>
      <c r="AA11" s="62"/>
      <c r="AB11" s="62"/>
      <c r="AC11" s="37" t="s">
        <v>54</v>
      </c>
      <c r="AD11" s="21">
        <f>CALC!W24</f>
        <v>6.59962480619531</v>
      </c>
      <c r="AE11" s="62"/>
      <c r="AF11" s="62"/>
      <c r="AG11" s="62"/>
      <c r="AH11" s="37" t="s">
        <v>53</v>
      </c>
      <c r="AI11" s="20">
        <f>CALC!AA19</f>
        <v>103</v>
      </c>
      <c r="AJ11" s="62"/>
      <c r="AK11" s="62"/>
      <c r="AL11" s="62"/>
      <c r="AM11" s="37" t="s">
        <v>85</v>
      </c>
      <c r="AN11" s="22">
        <f>IF(E12="RWD",CALC!AE30,IF(E12="AWD",CALC!AE30,"–"))</f>
        <v>80.909793333333326</v>
      </c>
      <c r="AO11" s="63"/>
    </row>
    <row r="12" spans="3:41" s="11" customFormat="1" ht="18" customHeight="1" x14ac:dyDescent="0.25">
      <c r="C12" s="61"/>
      <c r="D12" s="47" t="s">
        <v>76</v>
      </c>
      <c r="E12" s="33" t="s">
        <v>77</v>
      </c>
      <c r="F12" s="83" t="s">
        <v>87</v>
      </c>
      <c r="G12" s="83"/>
      <c r="H12" s="64"/>
      <c r="K12" s="62"/>
      <c r="L12" s="62"/>
      <c r="M12" s="62"/>
      <c r="N12" s="37" t="s">
        <v>55</v>
      </c>
      <c r="O12" s="21">
        <f>CALC!K21</f>
        <v>0</v>
      </c>
      <c r="P12" s="62"/>
      <c r="Q12" s="62"/>
      <c r="R12" s="62"/>
      <c r="S12" s="37"/>
      <c r="T12" s="21"/>
      <c r="U12" s="62"/>
      <c r="V12" s="62"/>
      <c r="W12" s="62"/>
      <c r="X12" s="37" t="s">
        <v>55</v>
      </c>
      <c r="Y12" s="21" t="str">
        <f>IF(E14="Asphalt","-1 Klick","MAX")</f>
        <v>-1 Klick</v>
      </c>
      <c r="Z12" s="62"/>
      <c r="AA12" s="62"/>
      <c r="AB12" s="62"/>
      <c r="AC12" s="37" t="s">
        <v>55</v>
      </c>
      <c r="AD12" s="21">
        <f>CALC!W25</f>
        <v>6.678208531150851</v>
      </c>
      <c r="AE12" s="62"/>
      <c r="AF12" s="62"/>
      <c r="AG12" s="62"/>
      <c r="AH12" s="37"/>
      <c r="AI12" s="20"/>
      <c r="AJ12" s="62"/>
      <c r="AK12" s="62"/>
      <c r="AL12" s="62"/>
      <c r="AM12" s="37" t="s">
        <v>62</v>
      </c>
      <c r="AN12" s="22">
        <f>IF(E12="RWD",CALC!AE34,IF(E12="AWD",CALC!AE34,"–"))</f>
        <v>22.654742133333333</v>
      </c>
      <c r="AO12" s="63"/>
    </row>
    <row r="13" spans="3:41" s="11" customFormat="1" ht="18" customHeight="1" x14ac:dyDescent="0.25">
      <c r="C13" s="61"/>
      <c r="D13" s="62"/>
      <c r="E13" s="20"/>
      <c r="F13" s="20"/>
      <c r="G13" s="20"/>
      <c r="H13" s="20"/>
      <c r="K13" s="62"/>
      <c r="L13" s="62"/>
      <c r="M13" s="62"/>
      <c r="N13" s="37"/>
      <c r="O13" s="21"/>
      <c r="P13" s="62"/>
      <c r="Q13" s="62"/>
      <c r="R13" s="62"/>
      <c r="S13" s="37"/>
      <c r="T13" s="21"/>
      <c r="U13" s="62"/>
      <c r="V13" s="62"/>
      <c r="W13" s="62"/>
      <c r="X13" s="37"/>
      <c r="Y13" s="21"/>
      <c r="Z13" s="62"/>
      <c r="AA13" s="62"/>
      <c r="AB13" s="62"/>
      <c r="AC13" s="37"/>
      <c r="AD13" s="21"/>
      <c r="AE13" s="62"/>
      <c r="AF13" s="62"/>
      <c r="AG13" s="62"/>
      <c r="AH13" s="37"/>
      <c r="AI13" s="20"/>
      <c r="AJ13" s="62"/>
      <c r="AK13" s="62"/>
      <c r="AL13" s="62"/>
      <c r="AM13" s="37"/>
      <c r="AN13" s="20"/>
      <c r="AO13" s="63"/>
    </row>
    <row r="14" spans="3:41" s="11" customFormat="1" ht="18" customHeight="1" x14ac:dyDescent="0.25">
      <c r="C14" s="61"/>
      <c r="D14" s="38" t="s">
        <v>96</v>
      </c>
      <c r="E14" s="33" t="s">
        <v>106</v>
      </c>
      <c r="F14" s="83" t="s">
        <v>87</v>
      </c>
      <c r="G14" s="83"/>
      <c r="H14" s="64"/>
      <c r="N14" s="38" t="s">
        <v>81</v>
      </c>
      <c r="O14" s="39"/>
      <c r="P14" s="62"/>
      <c r="Q14" s="62"/>
      <c r="R14" s="62"/>
      <c r="S14" s="47" t="s">
        <v>64</v>
      </c>
      <c r="T14" s="31">
        <v>0</v>
      </c>
      <c r="U14" s="83" t="s">
        <v>87</v>
      </c>
      <c r="V14" s="83"/>
      <c r="W14" s="64"/>
      <c r="X14" s="47" t="s">
        <v>64</v>
      </c>
      <c r="Y14" s="31">
        <v>0</v>
      </c>
      <c r="Z14" s="83" t="s">
        <v>87</v>
      </c>
      <c r="AA14" s="83"/>
      <c r="AB14" s="64"/>
      <c r="AC14" s="37"/>
      <c r="AD14" s="22"/>
      <c r="AE14" s="62"/>
      <c r="AF14" s="62"/>
      <c r="AG14" s="62"/>
      <c r="AH14" s="47" t="s">
        <v>69</v>
      </c>
      <c r="AI14" s="36" t="s">
        <v>98</v>
      </c>
      <c r="AJ14" s="83" t="s">
        <v>87</v>
      </c>
      <c r="AK14" s="83"/>
      <c r="AL14" s="62"/>
      <c r="AM14" s="38" t="s">
        <v>63</v>
      </c>
      <c r="AN14" s="42"/>
      <c r="AO14" s="63"/>
    </row>
    <row r="15" spans="3:41" s="11" customFormat="1" ht="18" customHeight="1" x14ac:dyDescent="0.25">
      <c r="C15" s="61"/>
      <c r="D15" s="62"/>
      <c r="E15" s="20"/>
      <c r="F15" s="62"/>
      <c r="G15" s="62"/>
      <c r="H15" s="62"/>
      <c r="K15" s="62"/>
      <c r="L15" s="62"/>
      <c r="M15" s="62"/>
      <c r="N15" s="37" t="s">
        <v>47</v>
      </c>
      <c r="O15" s="21">
        <f>CALC!K26</f>
        <v>7</v>
      </c>
      <c r="P15" s="62"/>
      <c r="Q15" s="62"/>
      <c r="R15" s="62"/>
      <c r="W15" s="64"/>
      <c r="AB15" s="64"/>
      <c r="AC15" s="37"/>
      <c r="AD15" s="22"/>
      <c r="AE15" s="62"/>
      <c r="AF15" s="62"/>
      <c r="AG15" s="62"/>
      <c r="AH15" s="37"/>
      <c r="AI15" s="20"/>
      <c r="AJ15" s="62"/>
      <c r="AK15" s="62"/>
      <c r="AL15" s="62"/>
      <c r="AM15" s="37" t="s">
        <v>23</v>
      </c>
      <c r="AN15" s="22" t="str">
        <f>IF(E12="AWD",CALC!AE37,"–")</f>
        <v>–</v>
      </c>
      <c r="AO15" s="63"/>
    </row>
    <row r="16" spans="3:41" ht="16.5" customHeight="1" x14ac:dyDescent="0.25">
      <c r="C16" s="57"/>
      <c r="D16" s="47" t="s">
        <v>105</v>
      </c>
      <c r="E16" s="33" t="s">
        <v>101</v>
      </c>
      <c r="F16" s="83" t="s">
        <v>87</v>
      </c>
      <c r="G16" s="83"/>
      <c r="H16" s="23"/>
      <c r="I16" s="23"/>
      <c r="J16" s="24"/>
      <c r="K16" s="23"/>
      <c r="L16" s="23"/>
      <c r="M16" s="23"/>
      <c r="N16" s="25"/>
      <c r="O16" s="21"/>
      <c r="P16" s="23"/>
      <c r="Q16" s="23"/>
      <c r="R16" s="23"/>
      <c r="S16" s="47" t="s">
        <v>65</v>
      </c>
      <c r="T16" s="31">
        <v>0</v>
      </c>
      <c r="U16" s="83" t="s">
        <v>87</v>
      </c>
      <c r="V16" s="83"/>
      <c r="W16" s="23"/>
      <c r="X16" s="47" t="s">
        <v>65</v>
      </c>
      <c r="Y16" s="31">
        <v>0</v>
      </c>
      <c r="Z16" s="83" t="s">
        <v>87</v>
      </c>
      <c r="AA16" s="83"/>
      <c r="AB16" s="23"/>
      <c r="AC16" s="25"/>
      <c r="AD16" s="21"/>
      <c r="AE16" s="23"/>
      <c r="AF16" s="23"/>
      <c r="AG16" s="23"/>
      <c r="AH16" s="25"/>
      <c r="AI16" s="20"/>
      <c r="AJ16" s="23"/>
      <c r="AK16" s="23"/>
      <c r="AL16" s="23"/>
      <c r="AM16" s="25"/>
      <c r="AN16" s="20"/>
      <c r="AO16" s="65"/>
    </row>
    <row r="17" spans="3:41" ht="16.5" x14ac:dyDescent="0.25">
      <c r="C17" s="66"/>
      <c r="D17" s="67"/>
      <c r="E17" s="68"/>
      <c r="F17" s="67"/>
      <c r="G17" s="67"/>
      <c r="H17" s="67"/>
      <c r="I17" s="67"/>
      <c r="J17" s="68"/>
      <c r="K17" s="67"/>
      <c r="L17" s="67"/>
      <c r="M17" s="67"/>
      <c r="N17" s="69"/>
      <c r="O17" s="70"/>
      <c r="P17" s="67"/>
      <c r="Q17" s="67"/>
      <c r="R17" s="67"/>
      <c r="S17" s="69"/>
      <c r="T17" s="39"/>
      <c r="U17" s="67"/>
      <c r="V17" s="67"/>
      <c r="W17" s="67"/>
      <c r="X17" s="69"/>
      <c r="Y17" s="39"/>
      <c r="Z17" s="67"/>
      <c r="AA17" s="67"/>
      <c r="AB17" s="67"/>
      <c r="AC17" s="69"/>
      <c r="AD17" s="39"/>
      <c r="AE17" s="67"/>
      <c r="AF17" s="67"/>
      <c r="AG17" s="67"/>
      <c r="AH17" s="69"/>
      <c r="AI17" s="70"/>
      <c r="AJ17" s="67"/>
      <c r="AK17" s="67"/>
      <c r="AL17" s="67"/>
      <c r="AM17" s="69"/>
      <c r="AN17" s="70"/>
      <c r="AO17" s="71"/>
    </row>
    <row r="18" spans="3:41" ht="16.5" x14ac:dyDescent="0.25">
      <c r="F18" s="23"/>
      <c r="G18" s="23"/>
      <c r="H18" s="23"/>
      <c r="I18" s="23"/>
      <c r="J18" s="24"/>
      <c r="K18" s="23"/>
      <c r="L18" s="23"/>
      <c r="M18" s="23"/>
      <c r="N18" s="25"/>
      <c r="O18" s="22"/>
      <c r="P18" s="23"/>
      <c r="Q18" s="23"/>
      <c r="R18" s="23"/>
      <c r="S18" s="25"/>
      <c r="T18" s="21"/>
      <c r="U18" s="23"/>
      <c r="V18" s="23"/>
      <c r="W18" s="23"/>
      <c r="X18" s="25"/>
      <c r="Y18" s="35"/>
      <c r="Z18" s="23"/>
      <c r="AA18" s="23"/>
      <c r="AB18" s="23"/>
      <c r="AC18" s="25"/>
      <c r="AD18" s="21"/>
      <c r="AE18" s="23"/>
      <c r="AF18" s="23"/>
      <c r="AG18" s="23"/>
      <c r="AH18" s="25"/>
      <c r="AI18" s="22"/>
      <c r="AJ18" s="23"/>
      <c r="AK18" s="23"/>
      <c r="AL18" s="23"/>
      <c r="AM18" s="25"/>
      <c r="AN18" s="22"/>
      <c r="AO18" s="23"/>
    </row>
    <row r="19" spans="3:41" ht="16.5" x14ac:dyDescent="0.25">
      <c r="C19" s="32" t="s">
        <v>94</v>
      </c>
      <c r="D19" s="23"/>
      <c r="E19" s="24"/>
      <c r="F19" s="23"/>
      <c r="G19" s="23"/>
      <c r="H19" s="23"/>
      <c r="I19" s="23"/>
      <c r="J19" s="24"/>
      <c r="K19" s="23"/>
      <c r="L19" s="23"/>
      <c r="M19" s="23"/>
      <c r="N19" s="25"/>
      <c r="O19" s="21"/>
      <c r="P19" s="23"/>
      <c r="Q19" s="23"/>
      <c r="R19" s="23"/>
      <c r="S19" s="25"/>
      <c r="T19" s="21"/>
      <c r="U19" s="23"/>
      <c r="V19" s="23"/>
      <c r="W19" s="23"/>
      <c r="X19" s="25"/>
      <c r="Y19" s="21"/>
      <c r="Z19" s="23"/>
      <c r="AA19" s="23"/>
      <c r="AB19" s="23"/>
      <c r="AC19" s="25"/>
      <c r="AD19" s="21"/>
      <c r="AE19" s="23"/>
      <c r="AF19" s="23"/>
      <c r="AG19" s="23"/>
      <c r="AH19" s="25"/>
      <c r="AI19" s="20"/>
      <c r="AJ19" s="23"/>
      <c r="AK19" s="23"/>
      <c r="AL19" s="23"/>
      <c r="AM19" s="25"/>
      <c r="AN19" s="20"/>
      <c r="AO19" s="23"/>
    </row>
    <row r="20" spans="3:41" ht="17.25" x14ac:dyDescent="0.3">
      <c r="C20" s="32" t="s">
        <v>136</v>
      </c>
      <c r="D20" s="23"/>
      <c r="E20" s="24"/>
      <c r="F20" s="26"/>
      <c r="G20" s="26"/>
      <c r="H20" s="26"/>
      <c r="I20" s="45"/>
      <c r="J20" s="27"/>
      <c r="K20" s="26"/>
      <c r="L20" s="26"/>
      <c r="M20" s="26"/>
      <c r="N20" s="28"/>
      <c r="O20" s="29"/>
      <c r="P20" s="26"/>
      <c r="Q20" s="26"/>
      <c r="R20" s="26"/>
      <c r="S20" s="28"/>
      <c r="T20" s="29"/>
      <c r="U20" s="26"/>
      <c r="V20" s="26"/>
      <c r="W20" s="26"/>
      <c r="X20" s="28"/>
      <c r="Y20" s="29"/>
      <c r="Z20" s="26"/>
      <c r="AA20" s="26"/>
      <c r="AB20" s="26"/>
      <c r="AC20" s="28"/>
      <c r="AD20" s="29"/>
      <c r="AE20" s="26"/>
      <c r="AF20" s="26"/>
      <c r="AG20" s="26"/>
      <c r="AH20" s="28"/>
      <c r="AI20" s="30"/>
      <c r="AJ20" s="26"/>
      <c r="AK20" s="26"/>
      <c r="AL20" s="26"/>
      <c r="AM20" s="28"/>
      <c r="AN20" s="30"/>
      <c r="AO20" s="26"/>
    </row>
    <row r="21" spans="3:41" ht="17.25" x14ac:dyDescent="0.3">
      <c r="C21"/>
      <c r="D21" s="26"/>
      <c r="E21" s="27"/>
      <c r="F21" s="26"/>
      <c r="G21" s="26"/>
      <c r="H21" s="26"/>
      <c r="I21" s="26"/>
      <c r="J21" s="27"/>
      <c r="K21" s="26"/>
      <c r="L21" s="26"/>
      <c r="M21" s="26"/>
      <c r="N21" s="28"/>
      <c r="O21" s="29"/>
      <c r="P21" s="26"/>
      <c r="Q21" s="26"/>
      <c r="R21" s="26"/>
      <c r="S21" s="28"/>
      <c r="T21" s="29"/>
      <c r="U21" s="26"/>
      <c r="V21" s="26"/>
      <c r="W21" s="26"/>
      <c r="X21" s="28"/>
      <c r="Y21" s="29"/>
      <c r="Z21" s="26"/>
      <c r="AA21" s="26"/>
      <c r="AB21" s="26"/>
      <c r="AC21" s="28"/>
      <c r="AD21" s="29"/>
      <c r="AE21" s="26"/>
      <c r="AF21" s="26"/>
      <c r="AG21" s="26"/>
      <c r="AH21" s="28"/>
      <c r="AI21" s="30"/>
      <c r="AJ21" s="26"/>
      <c r="AK21" s="26"/>
      <c r="AL21" s="26"/>
      <c r="AM21" s="28"/>
      <c r="AN21" s="30"/>
      <c r="AO21" s="26"/>
    </row>
    <row r="22" spans="3:41" ht="17.25" x14ac:dyDescent="0.3">
      <c r="D22" s="26"/>
      <c r="E22" s="27"/>
      <c r="F22" s="26"/>
      <c r="G22" s="26"/>
      <c r="H22" s="26"/>
      <c r="I22" s="28"/>
      <c r="J22" s="29"/>
      <c r="K22" s="26"/>
      <c r="L22" s="26"/>
      <c r="M22" s="26"/>
      <c r="N22" s="28"/>
      <c r="O22" s="29"/>
      <c r="P22" s="26"/>
      <c r="Q22" s="26"/>
      <c r="R22" s="26"/>
      <c r="S22" s="28"/>
      <c r="T22" s="29"/>
      <c r="U22" s="26"/>
      <c r="V22" s="26"/>
      <c r="W22" s="26"/>
      <c r="X22" s="28"/>
      <c r="Y22" s="29"/>
      <c r="Z22" s="26"/>
      <c r="AA22" s="26"/>
      <c r="AB22" s="26"/>
      <c r="AC22" s="28"/>
      <c r="AD22" s="30"/>
      <c r="AE22" s="26"/>
      <c r="AF22" s="26"/>
      <c r="AG22" s="26"/>
      <c r="AH22" s="28"/>
      <c r="AI22" s="30"/>
      <c r="AJ22" s="26"/>
      <c r="AK22" s="26"/>
      <c r="AL22" s="26"/>
      <c r="AM22" s="26"/>
      <c r="AN22" s="26"/>
      <c r="AO22" s="26"/>
    </row>
    <row r="23" spans="3:41" ht="17.25" x14ac:dyDescent="0.3">
      <c r="D23" s="26"/>
      <c r="E23" s="27"/>
      <c r="F23" s="26"/>
      <c r="G23" s="26"/>
      <c r="H23" s="26"/>
      <c r="I23" s="28"/>
      <c r="J23" s="29"/>
      <c r="K23" s="26"/>
      <c r="L23" s="26"/>
      <c r="M23" s="26"/>
      <c r="N23" s="28"/>
      <c r="O23" s="29"/>
      <c r="P23" s="26"/>
      <c r="Q23" s="26"/>
      <c r="R23" s="26"/>
      <c r="S23" s="28"/>
      <c r="T23" s="29"/>
      <c r="U23" s="26"/>
      <c r="V23" s="26"/>
      <c r="W23" s="26"/>
      <c r="X23" s="28"/>
      <c r="Y23" s="29"/>
      <c r="Z23" s="26"/>
      <c r="AA23" s="26"/>
      <c r="AB23" s="26"/>
      <c r="AC23" s="28"/>
      <c r="AD23" s="30"/>
      <c r="AE23" s="26"/>
      <c r="AF23" s="26"/>
      <c r="AG23" s="26"/>
      <c r="AH23" s="28"/>
      <c r="AI23" s="30"/>
      <c r="AJ23" s="26"/>
      <c r="AK23" s="26"/>
      <c r="AL23" s="26"/>
      <c r="AM23" s="26"/>
      <c r="AN23" s="26"/>
      <c r="AO23" s="26"/>
    </row>
  </sheetData>
  <mergeCells count="17">
    <mergeCell ref="AJ14:AK14"/>
    <mergeCell ref="F14:G14"/>
    <mergeCell ref="AH3:AI3"/>
    <mergeCell ref="AM3:AN3"/>
    <mergeCell ref="D3:E3"/>
    <mergeCell ref="I3:J3"/>
    <mergeCell ref="N3:O3"/>
    <mergeCell ref="S3:T3"/>
    <mergeCell ref="X3:Y3"/>
    <mergeCell ref="AC3:AD3"/>
    <mergeCell ref="Z14:AA14"/>
    <mergeCell ref="Z16:AA16"/>
    <mergeCell ref="F12:G12"/>
    <mergeCell ref="F16:G16"/>
    <mergeCell ref="K10:L10"/>
    <mergeCell ref="U14:V14"/>
    <mergeCell ref="U16:V16"/>
  </mergeCells>
  <pageMargins left="0.7" right="0.7" top="0.78740157499999996" bottom="0.78740157499999996" header="0.3" footer="0.3"/>
  <pageSetup paperSize="9" orientation="portrait" r:id="rId1"/>
  <drawing r:id="rId2"/>
  <legacyDrawing r:id="rId3"/>
  <extLst>
    <ext xmlns:x14="http://schemas.microsoft.com/office/spreadsheetml/2009/9/main" uri="{CCE6A557-97BC-4b89-ADB6-D9C93CAAB3DF}">
      <x14:dataValidations xmlns:xm="http://schemas.microsoft.com/office/excel/2006/main" count="6">
        <x14:dataValidation type="list" allowBlank="1" showInputMessage="1" showErrorMessage="1" xr:uid="{78FBE492-7C72-4AC7-9850-7DFAC7795D09}">
          <x14:formula1>
            <xm:f>DATA!$B$5:$B$105</xm:f>
          </x14:formula1>
          <xm:sqref>O17:O18 AD14:AD15 AI17:AI18 AN17:AN18 T16 T14 Y16 Y14</xm:sqref>
        </x14:dataValidation>
        <x14:dataValidation type="list" allowBlank="1" showInputMessage="1" showErrorMessage="1" xr:uid="{3E242AEE-0A2F-4649-9FF6-4D80B713AA80}">
          <x14:formula1>
            <xm:f>DATA!$D$5:$D$8</xm:f>
          </x14:formula1>
          <xm:sqref>E16</xm:sqref>
        </x14:dataValidation>
        <x14:dataValidation type="list" allowBlank="1" showInputMessage="1" showErrorMessage="1" xr:uid="{DBDE3979-CE6B-477C-AD77-403DF4D6919A}">
          <x14:formula1>
            <xm:f>DATA!$F$5:$F$7</xm:f>
          </x14:formula1>
          <xm:sqref>AI14</xm:sqref>
        </x14:dataValidation>
        <x14:dataValidation type="list" allowBlank="1" showInputMessage="1" showErrorMessage="1" xr:uid="{22C535E6-6EF8-46AE-9CAA-C4F351C5A055}">
          <x14:formula1>
            <xm:f>DATA!$H$5:$H$7</xm:f>
          </x14:formula1>
          <xm:sqref>E14</xm:sqref>
        </x14:dataValidation>
        <x14:dataValidation type="list" allowBlank="1" showInputMessage="1" showErrorMessage="1" xr:uid="{7A22F34D-B452-4BC4-85D0-E3DD03B716D8}">
          <x14:formula1>
            <xm:f>DATA!$N$5:$N$7</xm:f>
          </x14:formula1>
          <xm:sqref>E12</xm:sqref>
        </x14:dataValidation>
        <x14:dataValidation type="list" allowBlank="1" showInputMessage="1" showErrorMessage="1" xr:uid="{705956B6-BF3B-426A-9F5B-DBE5C6C65346}">
          <x14:formula1>
            <xm:f>DATA!$J$5:$J$16</xm:f>
          </x14:formula1>
          <xm:sqref>J10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0A306-E980-46CD-95A9-986731A62904}">
  <dimension ref="B2:AI60"/>
  <sheetViews>
    <sheetView topLeftCell="A22" workbookViewId="0">
      <selection activeCell="W15" sqref="W15"/>
    </sheetView>
  </sheetViews>
  <sheetFormatPr baseColWidth="10" defaultRowHeight="15" x14ac:dyDescent="0.25"/>
  <cols>
    <col min="2" max="2" width="23.7109375" customWidth="1"/>
    <col min="3" max="3" width="8.28515625" style="4" customWidth="1"/>
    <col min="4" max="5" width="4.7109375" customWidth="1"/>
    <col min="6" max="6" width="23.7109375" bestFit="1" customWidth="1"/>
    <col min="7" max="7" width="7.5703125" bestFit="1" customWidth="1"/>
    <col min="8" max="9" width="3.28515625" customWidth="1"/>
    <col min="10" max="10" width="23.7109375" customWidth="1"/>
    <col min="11" max="11" width="11.42578125" style="2"/>
    <col min="12" max="12" width="3.28515625" style="1" customWidth="1"/>
    <col min="13" max="13" width="3.28515625" customWidth="1"/>
    <col min="14" max="14" width="23.7109375" bestFit="1" customWidth="1"/>
    <col min="16" max="17" width="3.28515625" customWidth="1"/>
    <col min="18" max="18" width="22.28515625" bestFit="1" customWidth="1"/>
    <col min="20" max="21" width="3.28515625" customWidth="1"/>
    <col min="22" max="22" width="17.42578125" bestFit="1" customWidth="1"/>
    <col min="23" max="23" width="11.42578125" customWidth="1"/>
    <col min="24" max="25" width="3.28515625" customWidth="1"/>
    <col min="26" max="26" width="19.28515625" bestFit="1" customWidth="1"/>
    <col min="28" max="29" width="3.28515625" customWidth="1"/>
    <col min="30" max="30" width="19.28515625" bestFit="1" customWidth="1"/>
    <col min="34" max="34" width="19.140625" bestFit="1" customWidth="1"/>
  </cols>
  <sheetData>
    <row r="2" spans="2:31" x14ac:dyDescent="0.25">
      <c r="B2" s="5" t="s">
        <v>12</v>
      </c>
      <c r="F2" t="s">
        <v>86</v>
      </c>
      <c r="J2" s="5" t="s">
        <v>30</v>
      </c>
      <c r="K2"/>
      <c r="L2"/>
      <c r="N2" s="5" t="s">
        <v>18</v>
      </c>
      <c r="O2" s="5"/>
      <c r="P2" s="5"/>
      <c r="Q2" s="5"/>
      <c r="R2" s="5" t="s">
        <v>8</v>
      </c>
      <c r="S2" s="5"/>
      <c r="T2" s="5"/>
      <c r="U2" s="5"/>
      <c r="V2" s="5" t="s">
        <v>17</v>
      </c>
      <c r="W2" s="9"/>
      <c r="X2" s="5"/>
      <c r="Y2" s="5"/>
      <c r="Z2" s="5" t="s">
        <v>22</v>
      </c>
      <c r="AA2" s="5"/>
      <c r="AB2" s="5"/>
      <c r="AC2" s="5"/>
      <c r="AD2" s="5" t="s">
        <v>26</v>
      </c>
    </row>
    <row r="3" spans="2:31" x14ac:dyDescent="0.25">
      <c r="K3"/>
      <c r="L3"/>
      <c r="W3" s="2"/>
    </row>
    <row r="4" spans="2:31" x14ac:dyDescent="0.25">
      <c r="B4" t="s">
        <v>0</v>
      </c>
      <c r="C4" s="7">
        <f>'v0.9.9.8'!E6</f>
        <v>1250</v>
      </c>
      <c r="K4"/>
      <c r="L4"/>
      <c r="W4" s="2"/>
    </row>
    <row r="5" spans="2:31" x14ac:dyDescent="0.25">
      <c r="K5"/>
      <c r="L5"/>
      <c r="W5" s="2"/>
    </row>
    <row r="6" spans="2:31" x14ac:dyDescent="0.25">
      <c r="B6" t="s">
        <v>5</v>
      </c>
      <c r="C6" s="4">
        <v>0.20399999999999999</v>
      </c>
      <c r="F6" t="s">
        <v>9</v>
      </c>
      <c r="G6">
        <f>C11/10+1</f>
        <v>1.05</v>
      </c>
      <c r="J6" t="s">
        <v>3</v>
      </c>
      <c r="K6">
        <f>'v0.9.9.8'!E8</f>
        <v>225</v>
      </c>
      <c r="L6"/>
      <c r="N6" t="s">
        <v>9</v>
      </c>
      <c r="O6" s="4">
        <f>C13</f>
        <v>1</v>
      </c>
      <c r="R6" t="s">
        <v>67</v>
      </c>
      <c r="S6">
        <f>C6*0.709</f>
        <v>0.14463599999999999</v>
      </c>
      <c r="V6" t="s">
        <v>67</v>
      </c>
      <c r="W6" s="2"/>
      <c r="Z6" t="s">
        <v>3</v>
      </c>
      <c r="AA6" s="4">
        <f>C16</f>
        <v>0.5</v>
      </c>
      <c r="AD6" t="s">
        <v>3</v>
      </c>
      <c r="AE6">
        <f>'v0.9.9.8'!E8</f>
        <v>225</v>
      </c>
    </row>
    <row r="7" spans="2:31" x14ac:dyDescent="0.25">
      <c r="B7" t="s">
        <v>6</v>
      </c>
      <c r="C7" s="4">
        <v>4.0599999999999997E-2</v>
      </c>
      <c r="F7" t="s">
        <v>10</v>
      </c>
      <c r="G7">
        <f>C12/10+1</f>
        <v>1.05</v>
      </c>
      <c r="J7" t="s">
        <v>2</v>
      </c>
      <c r="K7">
        <f>'v0.9.9.8'!E9</f>
        <v>225</v>
      </c>
      <c r="L7"/>
      <c r="N7" t="s">
        <v>10</v>
      </c>
      <c r="O7" s="4">
        <f>C14</f>
        <v>1</v>
      </c>
      <c r="R7" t="s">
        <v>121</v>
      </c>
      <c r="S7" s="1">
        <f>C4*S6*S8</f>
        <v>180.79499999999999</v>
      </c>
      <c r="V7" t="s">
        <v>54</v>
      </c>
      <c r="W7" s="75">
        <f>S38/S7</f>
        <v>0.57340006069499982</v>
      </c>
      <c r="Z7" t="s">
        <v>2</v>
      </c>
      <c r="AA7" s="4">
        <f>C17</f>
        <v>0.5</v>
      </c>
      <c r="AD7" t="s">
        <v>2</v>
      </c>
      <c r="AE7">
        <f>'v0.9.9.8'!E9</f>
        <v>225</v>
      </c>
    </row>
    <row r="8" spans="2:31" x14ac:dyDescent="0.25">
      <c r="B8" t="s">
        <v>7</v>
      </c>
      <c r="C8" s="4">
        <f>(C6+C7)/2</f>
        <v>0.12229999999999999</v>
      </c>
      <c r="K8"/>
      <c r="L8"/>
      <c r="O8" s="4"/>
      <c r="R8" t="s">
        <v>96</v>
      </c>
      <c r="S8" s="74">
        <f>IF('v0.9.9.8'!E14="dirt",0.67,IF('v0.9.9.8'!E14="offroad",0.53,1))</f>
        <v>1</v>
      </c>
      <c r="V8" t="s">
        <v>55</v>
      </c>
      <c r="W8" s="75">
        <f>S39/S7</f>
        <v>0.58022770832382353</v>
      </c>
    </row>
    <row r="9" spans="2:31" x14ac:dyDescent="0.25">
      <c r="B9" t="s">
        <v>11</v>
      </c>
      <c r="C9" s="4">
        <v>0.67300000000000004</v>
      </c>
      <c r="F9" t="s">
        <v>5</v>
      </c>
      <c r="G9">
        <f>C4*C6</f>
        <v>254.99999999999997</v>
      </c>
      <c r="L9"/>
      <c r="N9" t="s">
        <v>3</v>
      </c>
      <c r="O9" s="4">
        <f>C18</f>
        <v>1</v>
      </c>
      <c r="R9" t="s">
        <v>27</v>
      </c>
      <c r="S9" s="74">
        <f>'v0.9.9.8'!Y16/100+1</f>
        <v>1</v>
      </c>
      <c r="V9" t="s">
        <v>68</v>
      </c>
      <c r="W9" s="73">
        <v>16</v>
      </c>
      <c r="Z9" t="s">
        <v>3</v>
      </c>
      <c r="AA9">
        <f>'v0.9.9.8'!E8</f>
        <v>225</v>
      </c>
      <c r="AD9" t="s">
        <v>113</v>
      </c>
      <c r="AE9">
        <v>62</v>
      </c>
    </row>
    <row r="10" spans="2:31" x14ac:dyDescent="0.25">
      <c r="F10" t="s">
        <v>115</v>
      </c>
      <c r="G10">
        <f>G9/5000+1</f>
        <v>1.0509999999999999</v>
      </c>
      <c r="J10" t="s">
        <v>33</v>
      </c>
      <c r="K10">
        <v>265</v>
      </c>
      <c r="L10"/>
      <c r="N10" t="s">
        <v>2</v>
      </c>
      <c r="O10" s="4">
        <f>C19</f>
        <v>1</v>
      </c>
      <c r="S10" s="1"/>
      <c r="V10" t="s">
        <v>0</v>
      </c>
      <c r="W10" s="73">
        <f>S7/1000+1</f>
        <v>1.180795</v>
      </c>
      <c r="Z10" t="s">
        <v>118</v>
      </c>
      <c r="AA10">
        <f>DATA!K17^2</f>
        <v>1.1881000000000002</v>
      </c>
    </row>
    <row r="11" spans="2:31" x14ac:dyDescent="0.25">
      <c r="B11" t="s">
        <v>9</v>
      </c>
      <c r="C11" s="4">
        <f>'v0.9.9.8'!E7/100</f>
        <v>0.5</v>
      </c>
      <c r="F11" t="s">
        <v>88</v>
      </c>
      <c r="G11">
        <f>DATA!K19</f>
        <v>1.6350000000000002</v>
      </c>
      <c r="J11" t="s">
        <v>134</v>
      </c>
      <c r="K11" s="82">
        <f>IF('v0.9.9.8'!E16="Balanced",-0.1,IF('v0.9.9.8'!E16="Dynamik",-0.1,0))</f>
        <v>-0.1</v>
      </c>
      <c r="L11"/>
      <c r="R11" t="s">
        <v>112</v>
      </c>
      <c r="S11" s="1">
        <f>IF('v0.9.9.8'!E12="AWD",0.97,IF('v0.9.9.8'!E12="FWD",1.01,1))</f>
        <v>1</v>
      </c>
      <c r="V11" t="s">
        <v>89</v>
      </c>
      <c r="W11" s="73">
        <f>W9*W10</f>
        <v>18.892720000000001</v>
      </c>
      <c r="AD11" t="s">
        <v>3</v>
      </c>
      <c r="AE11" s="74">
        <f>AE6/(AE6+AE7)</f>
        <v>0.5</v>
      </c>
    </row>
    <row r="12" spans="2:31" x14ac:dyDescent="0.25">
      <c r="B12" t="s">
        <v>10</v>
      </c>
      <c r="C12" s="4">
        <f>1-C11</f>
        <v>0.5</v>
      </c>
      <c r="G12" s="4"/>
      <c r="J12" t="s">
        <v>31</v>
      </c>
      <c r="K12" s="6">
        <f>ROUNDDOWN(K10/K6,1)+K11</f>
        <v>1</v>
      </c>
      <c r="L12"/>
      <c r="N12" t="s">
        <v>15</v>
      </c>
      <c r="O12" s="4">
        <f>C23</f>
        <v>0.98699999999999999</v>
      </c>
      <c r="R12" t="s">
        <v>54</v>
      </c>
      <c r="S12" s="74">
        <f>S11</f>
        <v>1</v>
      </c>
      <c r="V12" t="s">
        <v>69</v>
      </c>
      <c r="W12" s="73">
        <f>1</f>
        <v>1</v>
      </c>
      <c r="Z12" t="s">
        <v>76</v>
      </c>
      <c r="AA12" s="73">
        <f>IF('v0.9.9.8'!E12="FWD",2,1)</f>
        <v>1</v>
      </c>
      <c r="AD12" t="s">
        <v>2</v>
      </c>
      <c r="AE12" s="74">
        <f>AE7/(AE6+AE7)</f>
        <v>0.5</v>
      </c>
    </row>
    <row r="13" spans="2:31" x14ac:dyDescent="0.25">
      <c r="B13" t="s">
        <v>9</v>
      </c>
      <c r="C13" s="4">
        <f>1+(C11-0.5)</f>
        <v>1</v>
      </c>
      <c r="F13" t="s">
        <v>53</v>
      </c>
      <c r="J13" t="s">
        <v>32</v>
      </c>
      <c r="K13" s="6">
        <f>ROUNDUP(K10/K7,1)</f>
        <v>1.2000000000000002</v>
      </c>
      <c r="L13"/>
      <c r="N13" t="s">
        <v>16</v>
      </c>
      <c r="O13" s="4">
        <f>C24</f>
        <v>1.0129999999999999</v>
      </c>
      <c r="R13" t="s">
        <v>55</v>
      </c>
      <c r="S13" s="74">
        <f>1.1-S11/10</f>
        <v>1</v>
      </c>
      <c r="T13" s="3"/>
      <c r="Z13" t="s">
        <v>69</v>
      </c>
      <c r="AA13" s="73">
        <f>IF('v0.9.9.8'!AI14="FRONT",3,IF('v0.9.9.8'!AI14="MID",2,1))</f>
        <v>3</v>
      </c>
    </row>
    <row r="14" spans="2:31" x14ac:dyDescent="0.25">
      <c r="B14" t="s">
        <v>10</v>
      </c>
      <c r="C14" s="4">
        <f>1+(C12-0.5)</f>
        <v>1</v>
      </c>
      <c r="F14" t="s">
        <v>54</v>
      </c>
      <c r="G14" s="76">
        <f>G6*G10*G11</f>
        <v>1.8043042500000004</v>
      </c>
      <c r="L14"/>
      <c r="S14" s="1"/>
      <c r="V14" t="s">
        <v>135</v>
      </c>
      <c r="W14" s="80">
        <v>0.96699999999999997</v>
      </c>
      <c r="AD14" t="s">
        <v>16</v>
      </c>
      <c r="AE14" s="75">
        <f>(C22/2)+1</f>
        <v>1.3149999999999999</v>
      </c>
    </row>
    <row r="15" spans="2:31" x14ac:dyDescent="0.25">
      <c r="F15" t="s">
        <v>55</v>
      </c>
      <c r="G15" s="76">
        <f>G7*G10*G11</f>
        <v>1.8043042500000004</v>
      </c>
      <c r="J15" t="s">
        <v>30</v>
      </c>
      <c r="K15">
        <v>330</v>
      </c>
      <c r="L15"/>
      <c r="N15" t="s">
        <v>19</v>
      </c>
      <c r="O15" s="2">
        <f>32*O6*O9*O12</f>
        <v>31.584</v>
      </c>
      <c r="R15" t="s">
        <v>105</v>
      </c>
      <c r="S15" s="1">
        <f>IF('v0.9.9.8'!E16="Balanced",1,IF('v0.9.9.8'!E16="Dynamik",0.98,IF('v0.9.9.8'!E16="Sport",0.95,0.91)))</f>
        <v>1</v>
      </c>
      <c r="Z15" t="s">
        <v>23</v>
      </c>
      <c r="AD15" t="s">
        <v>114</v>
      </c>
      <c r="AE15" s="73">
        <f>AE14/10+1</f>
        <v>1.1315</v>
      </c>
    </row>
    <row r="16" spans="2:31" x14ac:dyDescent="0.25">
      <c r="B16" t="s">
        <v>3</v>
      </c>
      <c r="C16" s="4">
        <f>'v0.9.9.8'!E8/('v0.9.9.8'!E8+'v0.9.9.8'!E9)</f>
        <v>0.5</v>
      </c>
      <c r="J16" t="s">
        <v>134</v>
      </c>
      <c r="K16" s="82">
        <f>IF('v0.9.9.8'!E16="Dynamik",0.1,0)</f>
        <v>0</v>
      </c>
      <c r="L16"/>
      <c r="N16" t="s">
        <v>20</v>
      </c>
      <c r="O16" s="2">
        <f>32*O7*O10*C24</f>
        <v>32.415999999999997</v>
      </c>
      <c r="R16" t="s">
        <v>54</v>
      </c>
      <c r="S16" s="74">
        <f>S15</f>
        <v>1</v>
      </c>
      <c r="V16" t="s">
        <v>59</v>
      </c>
      <c r="Z16" t="s">
        <v>23</v>
      </c>
      <c r="AA16" s="13">
        <f>ROUND(AA6/(AA6+AA7),2)*100+AA13+AA12</f>
        <v>54</v>
      </c>
    </row>
    <row r="17" spans="2:32" x14ac:dyDescent="0.25">
      <c r="B17" t="s">
        <v>2</v>
      </c>
      <c r="C17" s="4">
        <f>1-C16</f>
        <v>0.5</v>
      </c>
      <c r="J17" t="s">
        <v>44</v>
      </c>
      <c r="K17" s="88">
        <f>IF('v0.9.9.8'!E16="Balanced",K16,IF('v0.9.9.8'!E16="Dynamik",K16,(ROUNDUP((K15/'v0.9.9.8'!E8),1)-1)/3))</f>
        <v>0</v>
      </c>
      <c r="L17"/>
      <c r="R17" t="s">
        <v>55</v>
      </c>
      <c r="S17" s="74">
        <f>1.1-S16/10</f>
        <v>1</v>
      </c>
      <c r="V17" t="s">
        <v>96</v>
      </c>
      <c r="W17" s="73">
        <f>IF('v0.9.9.8'!E14="dirt",0.95,IF('v0.9.9.8'!E14="offroad",0.9,1))</f>
        <v>1</v>
      </c>
      <c r="AA17" s="7"/>
      <c r="AD17" t="s">
        <v>110</v>
      </c>
      <c r="AE17" s="73">
        <f>1-DATA!L17/5</f>
        <v>1</v>
      </c>
    </row>
    <row r="18" spans="2:32" x14ac:dyDescent="0.25">
      <c r="B18" t="s">
        <v>3</v>
      </c>
      <c r="C18" s="4">
        <f>1+(C16-0.5)</f>
        <v>1</v>
      </c>
      <c r="J18" t="s">
        <v>44</v>
      </c>
      <c r="K18" s="6">
        <f>IF(K17&gt;0.1,0.1,K17)</f>
        <v>0</v>
      </c>
      <c r="L18"/>
      <c r="N18" t="s">
        <v>92</v>
      </c>
      <c r="O18" s="10">
        <f>IF('v0.9.9.8'!E12="RWD",-15,IF('v0.9.9.8'!E12="AWD",-39,0))</f>
        <v>-15</v>
      </c>
      <c r="S18" s="1"/>
      <c r="V18" t="s">
        <v>54</v>
      </c>
      <c r="W18" s="6">
        <f>(W11*W7)*W17*W14</f>
        <v>10.475594930468747</v>
      </c>
      <c r="Z18" t="s">
        <v>61</v>
      </c>
      <c r="AD18" t="s">
        <v>111</v>
      </c>
      <c r="AE18" s="73">
        <f>1+DATA!L17/5</f>
        <v>1</v>
      </c>
    </row>
    <row r="19" spans="2:32" x14ac:dyDescent="0.25">
      <c r="B19" t="s">
        <v>2</v>
      </c>
      <c r="C19" s="4">
        <f>1+(C17-0.5)</f>
        <v>1</v>
      </c>
      <c r="L19"/>
      <c r="N19" t="s">
        <v>24</v>
      </c>
      <c r="O19" s="1">
        <f>(100+O18)/100</f>
        <v>0.85</v>
      </c>
      <c r="R19" t="s">
        <v>122</v>
      </c>
      <c r="S19" s="74">
        <f>'v0.9.9.8'!E7/100</f>
        <v>0.5</v>
      </c>
      <c r="V19" t="s">
        <v>55</v>
      </c>
      <c r="W19" s="6">
        <f>(W11*W8*W12)*W17*W14</f>
        <v>10.600331001826747</v>
      </c>
      <c r="Z19" t="s">
        <v>53</v>
      </c>
      <c r="AA19" s="8">
        <f>ROUND((AA9*AA10)/100+100,0)</f>
        <v>103</v>
      </c>
    </row>
    <row r="20" spans="2:32" x14ac:dyDescent="0.25">
      <c r="J20" t="s">
        <v>30</v>
      </c>
      <c r="K20">
        <v>315</v>
      </c>
      <c r="L20"/>
      <c r="N20" t="s">
        <v>25</v>
      </c>
      <c r="O20" s="1">
        <f>1+(1-O19^3)/10</f>
        <v>1.0385875</v>
      </c>
      <c r="R20" t="s">
        <v>123</v>
      </c>
      <c r="S20" s="74">
        <f>1-S19</f>
        <v>0.5</v>
      </c>
      <c r="AD20" t="s">
        <v>96</v>
      </c>
      <c r="AE20" s="73">
        <f>IF('v0.9.9.8'!E14="dirt",1.05,IF('v0.9.9.8'!E14="offroad",1.09,1))</f>
        <v>1</v>
      </c>
    </row>
    <row r="21" spans="2:32" x14ac:dyDescent="0.25">
      <c r="B21" t="s">
        <v>15</v>
      </c>
      <c r="C21" s="4">
        <f>'v0.9.9.8'!E10</f>
        <v>0.37</v>
      </c>
      <c r="J21" t="s">
        <v>45</v>
      </c>
      <c r="K21" s="2">
        <v>0</v>
      </c>
      <c r="L21"/>
      <c r="S21" s="1"/>
      <c r="V21" t="s">
        <v>60</v>
      </c>
      <c r="W21" s="2"/>
      <c r="AD21" t="s">
        <v>112</v>
      </c>
      <c r="AE21" s="73">
        <f>IF('v0.9.9.8'!E12="FWD",2,1)</f>
        <v>1</v>
      </c>
    </row>
    <row r="22" spans="2:32" x14ac:dyDescent="0.25">
      <c r="B22" t="s">
        <v>16</v>
      </c>
      <c r="C22" s="4">
        <f>1-C21</f>
        <v>0.63</v>
      </c>
      <c r="J22" t="s">
        <v>45</v>
      </c>
      <c r="K22" s="6">
        <f>('v0.9.9.8'!E9/K20-1)/2</f>
        <v>-0.14285714285714285</v>
      </c>
      <c r="L22"/>
      <c r="N22" t="s">
        <v>90</v>
      </c>
      <c r="O22" s="10">
        <f>IF('v0.9.9.8'!E16="Balanced",0,IF('v0.9.9.8'!E16="Dynamik",-16,IF('v0.9.9.8'!E16="Sport",-24,-36)))</f>
        <v>0</v>
      </c>
      <c r="R22" t="s">
        <v>124</v>
      </c>
      <c r="S22" s="74">
        <f>('v0.9.9.8'!E8/('v0.9.9.8'!E8+'v0.9.9.8'!E9))/10+1</f>
        <v>1.05</v>
      </c>
      <c r="V22" t="s">
        <v>120</v>
      </c>
      <c r="W22" s="74">
        <f>IF('v0.9.9.8'!E12="FWD",DATA!O7,IF('v0.9.9.8'!E12="RWD",DATA!O5,DATA!O6))</f>
        <v>0.63</v>
      </c>
      <c r="AD22" t="s">
        <v>119</v>
      </c>
      <c r="AE22" s="73">
        <f>IF('v0.9.9.8'!E12="FWD",0.1857,0.082)</f>
        <v>8.2000000000000003E-2</v>
      </c>
    </row>
    <row r="23" spans="2:32" x14ac:dyDescent="0.25">
      <c r="B23" t="s">
        <v>15</v>
      </c>
      <c r="C23" s="4">
        <f>1+(C21-0.5)/10</f>
        <v>0.98699999999999999</v>
      </c>
      <c r="K23"/>
      <c r="L23"/>
      <c r="N23" t="s">
        <v>24</v>
      </c>
      <c r="O23" s="1">
        <f>(100+O22)/100</f>
        <v>1</v>
      </c>
      <c r="R23" t="s">
        <v>125</v>
      </c>
      <c r="S23" s="74">
        <f>('v0.9.9.8'!E9/('v0.9.9.8'!E8+'v0.9.9.8'!E9))/10+1</f>
        <v>1.05</v>
      </c>
      <c r="T23" s="1"/>
      <c r="V23" t="s">
        <v>96</v>
      </c>
      <c r="W23" s="73">
        <f>IF('v0.9.9.8'!E14="dirt",0.94,IF('v0.9.9.8'!E14="offroad",0.87,1))</f>
        <v>1</v>
      </c>
    </row>
    <row r="24" spans="2:32" x14ac:dyDescent="0.25">
      <c r="B24" t="s">
        <v>16</v>
      </c>
      <c r="C24" s="4">
        <f>1+(C22-0.5)/10</f>
        <v>1.0129999999999999</v>
      </c>
      <c r="J24" t="s">
        <v>46</v>
      </c>
      <c r="K24">
        <v>4.7</v>
      </c>
      <c r="L24"/>
      <c r="N24" t="s">
        <v>25</v>
      </c>
      <c r="O24" s="1">
        <f>1+(1-O23^3)/10</f>
        <v>1</v>
      </c>
      <c r="S24" s="1"/>
      <c r="T24" s="1"/>
      <c r="V24" t="s">
        <v>54</v>
      </c>
      <c r="W24" s="6">
        <f>W18*W22*W23</f>
        <v>6.59962480619531</v>
      </c>
      <c r="X24" s="1"/>
      <c r="AD24" t="s">
        <v>48</v>
      </c>
      <c r="AE24">
        <v>345</v>
      </c>
    </row>
    <row r="25" spans="2:32" x14ac:dyDescent="0.25">
      <c r="J25" t="s">
        <v>47</v>
      </c>
      <c r="K25" s="6">
        <f>ROUNDDOWN(K24*(1+C16),1)</f>
        <v>7</v>
      </c>
      <c r="L25"/>
      <c r="R25" t="s">
        <v>126</v>
      </c>
      <c r="S25" s="74">
        <f>'v0.9.9.8'!E10/10+1</f>
        <v>1.0369999999999999</v>
      </c>
      <c r="T25" s="1"/>
      <c r="V25" t="s">
        <v>55</v>
      </c>
      <c r="W25" s="6">
        <f>W22*W19*W23</f>
        <v>6.678208531150851</v>
      </c>
      <c r="AD25" t="s">
        <v>49</v>
      </c>
      <c r="AE25" s="74">
        <f>1+(AE24/AE6)/10</f>
        <v>1.1533333333333333</v>
      </c>
    </row>
    <row r="26" spans="2:32" x14ac:dyDescent="0.25">
      <c r="J26" t="s">
        <v>134</v>
      </c>
      <c r="K26" s="82">
        <f>IF('v0.9.9.8'!E16="Balanced",7,IF('v0.9.9.8'!E16="Dynamik",7,K25))</f>
        <v>7</v>
      </c>
      <c r="L26"/>
      <c r="N26" t="s">
        <v>91</v>
      </c>
      <c r="O26" s="10">
        <f>IF('v0.9.9.8'!E16="Balanced",0,IF('v0.9.9.8'!E16="Dynamik",2,IF('v0.9.9.8'!E16="Sport",4,7)))</f>
        <v>0</v>
      </c>
      <c r="R26" t="s">
        <v>127</v>
      </c>
      <c r="S26" s="74">
        <f>(1-'v0.9.9.8'!E10)/10+1</f>
        <v>1.0629999999999999</v>
      </c>
      <c r="T26" s="1"/>
      <c r="AD26" t="s">
        <v>50</v>
      </c>
      <c r="AE26" s="74">
        <f>1+(AE24/AE7)/10</f>
        <v>1.1533333333333333</v>
      </c>
      <c r="AF26" s="1"/>
    </row>
    <row r="27" spans="2:32" x14ac:dyDescent="0.25">
      <c r="L27"/>
      <c r="N27" t="s">
        <v>28</v>
      </c>
      <c r="O27" s="1">
        <f>1+O26/100</f>
        <v>1</v>
      </c>
      <c r="S27" s="1"/>
      <c r="T27" s="1"/>
      <c r="AF27" s="7"/>
    </row>
    <row r="28" spans="2:32" x14ac:dyDescent="0.25">
      <c r="L28"/>
      <c r="N28" t="s">
        <v>29</v>
      </c>
      <c r="O28" s="1">
        <f>1+O26/100</f>
        <v>1</v>
      </c>
      <c r="R28" t="s">
        <v>21</v>
      </c>
      <c r="S28" s="7">
        <f>'v0.9.9.8'!Y14</f>
        <v>0</v>
      </c>
      <c r="T28" s="1"/>
      <c r="AD28" t="s">
        <v>48</v>
      </c>
      <c r="AF28" s="4"/>
    </row>
    <row r="29" spans="2:32" x14ac:dyDescent="0.25">
      <c r="K29"/>
      <c r="L29"/>
      <c r="R29" t="s">
        <v>24</v>
      </c>
      <c r="S29" s="74">
        <f>(100+S28)/100</f>
        <v>1</v>
      </c>
      <c r="T29" s="1"/>
      <c r="AD29" t="s">
        <v>49</v>
      </c>
      <c r="AE29" s="13">
        <f>AE9*AE17*AE25*AE20</f>
        <v>71.506666666666661</v>
      </c>
      <c r="AF29" s="4"/>
    </row>
    <row r="30" spans="2:32" x14ac:dyDescent="0.25">
      <c r="K30"/>
      <c r="L30"/>
      <c r="N30" t="s">
        <v>21</v>
      </c>
      <c r="O30" s="10">
        <f>'v0.9.9.8'!T14</f>
        <v>0</v>
      </c>
      <c r="R30" t="s">
        <v>25</v>
      </c>
      <c r="S30" s="74">
        <f>1+(1-S29^3)/10</f>
        <v>1</v>
      </c>
      <c r="T30" s="1"/>
      <c r="AD30" t="s">
        <v>50</v>
      </c>
      <c r="AE30" s="13">
        <f>AE9*AE26*AE17*AE15*AE20</f>
        <v>80.909793333333326</v>
      </c>
      <c r="AF30" s="1"/>
    </row>
    <row r="31" spans="2:32" x14ac:dyDescent="0.25">
      <c r="K31"/>
      <c r="L31"/>
      <c r="N31" t="s">
        <v>24</v>
      </c>
      <c r="O31" s="1">
        <f>(100+O30)/100</f>
        <v>1</v>
      </c>
      <c r="T31" s="1"/>
      <c r="AE31" s="7"/>
      <c r="AF31" s="1"/>
    </row>
    <row r="32" spans="2:32" x14ac:dyDescent="0.25">
      <c r="K32"/>
      <c r="L32"/>
      <c r="N32" t="s">
        <v>25</v>
      </c>
      <c r="O32" s="1">
        <f>1+(1-O31^3)/10</f>
        <v>1</v>
      </c>
      <c r="P32" s="1"/>
      <c r="R32" t="s">
        <v>92</v>
      </c>
      <c r="AD32" t="s">
        <v>48</v>
      </c>
      <c r="AE32" s="7"/>
      <c r="AF32" s="1"/>
    </row>
    <row r="33" spans="11:35" x14ac:dyDescent="0.25">
      <c r="K33"/>
      <c r="L33"/>
      <c r="P33" s="1"/>
      <c r="R33" t="s">
        <v>54</v>
      </c>
      <c r="S33" s="81">
        <f>DATA!R13</f>
        <v>1.0098</v>
      </c>
      <c r="AD33" t="s">
        <v>51</v>
      </c>
      <c r="AE33" s="13">
        <f>AE29*AE22</f>
        <v>5.8635466666666662</v>
      </c>
      <c r="AF33" s="1"/>
    </row>
    <row r="34" spans="11:35" x14ac:dyDescent="0.25">
      <c r="K34"/>
      <c r="L34"/>
      <c r="N34" t="s">
        <v>27</v>
      </c>
      <c r="O34" s="10">
        <f>'v0.9.9.8'!T16</f>
        <v>0</v>
      </c>
      <c r="P34" s="1"/>
      <c r="R34" t="s">
        <v>55</v>
      </c>
      <c r="S34" s="81">
        <f>DATA!R14</f>
        <v>0.99683112061191992</v>
      </c>
      <c r="AD34" t="s">
        <v>52</v>
      </c>
      <c r="AE34" s="13">
        <f>AE30*0.28</f>
        <v>22.654742133333333</v>
      </c>
      <c r="AF34" s="1"/>
      <c r="AI34" s="1"/>
    </row>
    <row r="35" spans="11:35" x14ac:dyDescent="0.25">
      <c r="K35"/>
      <c r="L35"/>
      <c r="N35" t="s">
        <v>28</v>
      </c>
      <c r="O35" s="1">
        <f>1+O34/100</f>
        <v>1</v>
      </c>
      <c r="P35" s="1"/>
      <c r="AF35" s="1"/>
      <c r="AI35" s="1"/>
    </row>
    <row r="36" spans="11:35" x14ac:dyDescent="0.25">
      <c r="K36"/>
      <c r="L36"/>
      <c r="N36" t="s">
        <v>29</v>
      </c>
      <c r="O36" s="1">
        <f>1+O34/100</f>
        <v>1</v>
      </c>
      <c r="P36" s="1"/>
      <c r="R36" t="s">
        <v>135</v>
      </c>
      <c r="S36" s="80">
        <v>1.0429999999999999</v>
      </c>
      <c r="AD36" t="s">
        <v>23</v>
      </c>
      <c r="AE36">
        <f>ROUNDUP(AE12*AE14*AE18*100,0)</f>
        <v>66</v>
      </c>
      <c r="AI36" s="1"/>
    </row>
    <row r="37" spans="11:35" x14ac:dyDescent="0.25">
      <c r="K37"/>
      <c r="L37"/>
      <c r="O37" s="2"/>
      <c r="P37" s="1"/>
      <c r="AD37" t="s">
        <v>70</v>
      </c>
      <c r="AE37" s="8">
        <f>IF('v0.9.9.8'!E16="Balanced",AE36,IF('v0.9.9.8'!E16="Dynamik",AE36+1,IF('v0.9.9.8'!E16="Sport",AE36+2,AE36+4)))</f>
        <v>66</v>
      </c>
      <c r="AI37" s="1"/>
    </row>
    <row r="38" spans="11:35" x14ac:dyDescent="0.25">
      <c r="K38"/>
      <c r="L38"/>
      <c r="N38" t="s">
        <v>19</v>
      </c>
      <c r="O38" s="6">
        <f>(O15*O23^2)*O27*O31*O35*O19</f>
        <v>26.846399999999999</v>
      </c>
      <c r="P38" s="1"/>
      <c r="R38" t="s">
        <v>13</v>
      </c>
      <c r="S38" s="77">
        <f>(S7*S19*S22*S25*S8*S9*S12*S16)*S29*S33*S36</f>
        <v>103.6678639733525</v>
      </c>
      <c r="AI38" s="1"/>
    </row>
    <row r="39" spans="11:35" x14ac:dyDescent="0.25">
      <c r="N39" t="s">
        <v>20</v>
      </c>
      <c r="O39" s="6">
        <f>(O16*O24)*O28*O32*O36*O20</f>
        <v>33.666852399999996</v>
      </c>
      <c r="R39" t="s">
        <v>14</v>
      </c>
      <c r="S39" s="77">
        <f>(S7*S20*S23*S26*S8*S9*S13*S17)*S30*S34*S36</f>
        <v>104.90226852640566</v>
      </c>
      <c r="AI39" s="1"/>
    </row>
    <row r="40" spans="11:35" x14ac:dyDescent="0.25">
      <c r="O40" s="2"/>
      <c r="S40" s="2"/>
      <c r="AI40" s="1"/>
    </row>
    <row r="41" spans="11:35" x14ac:dyDescent="0.25">
      <c r="N41" t="s">
        <v>96</v>
      </c>
      <c r="O41" s="73">
        <f>IF('v0.9.9.8'!E14="dirt",0.87,IF('v0.9.9.8'!E14="offroad",0.73,1))</f>
        <v>1</v>
      </c>
      <c r="S41" s="2"/>
      <c r="AI41" s="1"/>
    </row>
    <row r="42" spans="11:35" x14ac:dyDescent="0.25">
      <c r="N42" t="s">
        <v>76</v>
      </c>
      <c r="O42" s="73">
        <f>IF('v0.9.9.8'!E12="FWD",0.449,IF('v0.9.9.8'!E12="AWD",0.782,0.861))</f>
        <v>0.86099999999999999</v>
      </c>
      <c r="AF42" s="7"/>
      <c r="AI42" s="1"/>
    </row>
    <row r="43" spans="11:35" x14ac:dyDescent="0.25">
      <c r="AF43" s="7"/>
    </row>
    <row r="44" spans="11:35" x14ac:dyDescent="0.25">
      <c r="N44" t="s">
        <v>132</v>
      </c>
      <c r="O44" s="80">
        <v>0.53500000000000003</v>
      </c>
    </row>
    <row r="46" spans="11:35" x14ac:dyDescent="0.25">
      <c r="N46" t="s">
        <v>19</v>
      </c>
      <c r="O46" s="6">
        <f>O38*O41*O42*O44</f>
        <v>12.366391463999999</v>
      </c>
    </row>
    <row r="47" spans="11:35" x14ac:dyDescent="0.25">
      <c r="N47" t="s">
        <v>20</v>
      </c>
      <c r="O47" s="6">
        <f>O39*O41</f>
        <v>33.666852399999996</v>
      </c>
    </row>
    <row r="54" spans="23:23" x14ac:dyDescent="0.25">
      <c r="W54" s="2"/>
    </row>
    <row r="55" spans="23:23" x14ac:dyDescent="0.25">
      <c r="W55" s="2"/>
    </row>
    <row r="59" spans="23:23" x14ac:dyDescent="0.25">
      <c r="W59" s="2"/>
    </row>
    <row r="60" spans="23:23" x14ac:dyDescent="0.25">
      <c r="W60" s="2"/>
    </row>
  </sheetData>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FDA98F-C0E9-4FCB-9F90-DB98CBD5CA42}">
  <dimension ref="B3:X105"/>
  <sheetViews>
    <sheetView workbookViewId="0">
      <selection activeCell="R14" sqref="R14"/>
    </sheetView>
  </sheetViews>
  <sheetFormatPr baseColWidth="10" defaultRowHeight="15" x14ac:dyDescent="0.25"/>
  <cols>
    <col min="1" max="1" width="11.7109375" customWidth="1"/>
    <col min="2" max="2" width="13.140625" style="11" bestFit="1" customWidth="1"/>
    <col min="3" max="8" width="11.7109375" customWidth="1"/>
    <col min="9" max="9" width="12.42578125" bestFit="1" customWidth="1"/>
    <col min="10" max="15" width="11.7109375" customWidth="1"/>
    <col min="16" max="16" width="13.28515625" bestFit="1" customWidth="1"/>
    <col min="17" max="17" width="12" bestFit="1" customWidth="1"/>
  </cols>
  <sheetData>
    <row r="3" spans="2:24" s="11" customFormat="1" ht="25.5" x14ac:dyDescent="0.25">
      <c r="B3" s="12" t="s">
        <v>34</v>
      </c>
      <c r="D3" s="12" t="s">
        <v>69</v>
      </c>
      <c r="F3" s="12" t="s">
        <v>22</v>
      </c>
      <c r="H3" s="12" t="s">
        <v>96</v>
      </c>
      <c r="J3" s="12" t="s">
        <v>35</v>
      </c>
      <c r="K3" s="12" t="s">
        <v>36</v>
      </c>
      <c r="L3" s="12" t="s">
        <v>130</v>
      </c>
      <c r="N3" s="12" t="s">
        <v>76</v>
      </c>
      <c r="O3" s="12" t="s">
        <v>60</v>
      </c>
      <c r="Q3" s="12" t="s">
        <v>133</v>
      </c>
      <c r="W3" s="34" t="s">
        <v>71</v>
      </c>
    </row>
    <row r="4" spans="2:24" ht="18.75" x14ac:dyDescent="0.3">
      <c r="W4" s="14" t="s">
        <v>72</v>
      </c>
    </row>
    <row r="5" spans="2:24" x14ac:dyDescent="0.25">
      <c r="B5" s="11">
        <v>-50</v>
      </c>
      <c r="D5" t="s">
        <v>101</v>
      </c>
      <c r="F5" t="s">
        <v>98</v>
      </c>
      <c r="H5" t="s">
        <v>106</v>
      </c>
      <c r="J5" t="s">
        <v>109</v>
      </c>
      <c r="K5" s="1">
        <v>1.0900000000000001</v>
      </c>
      <c r="L5" s="1">
        <v>0</v>
      </c>
      <c r="N5" s="79" t="s">
        <v>77</v>
      </c>
      <c r="O5" s="79">
        <v>0.63</v>
      </c>
      <c r="P5" s="79"/>
      <c r="Q5" t="s">
        <v>21</v>
      </c>
      <c r="R5" s="10">
        <v>2</v>
      </c>
    </row>
    <row r="6" spans="2:24" x14ac:dyDescent="0.25">
      <c r="B6" s="11">
        <v>-49</v>
      </c>
      <c r="D6" t="s">
        <v>102</v>
      </c>
      <c r="F6" t="s">
        <v>99</v>
      </c>
      <c r="H6" t="s">
        <v>107</v>
      </c>
      <c r="J6" t="s">
        <v>37</v>
      </c>
      <c r="K6" s="1">
        <v>1.1000000000000001</v>
      </c>
      <c r="L6" s="1">
        <v>0.06</v>
      </c>
      <c r="N6" s="79" t="s">
        <v>78</v>
      </c>
      <c r="O6" s="79">
        <v>0.62</v>
      </c>
      <c r="P6" s="79"/>
      <c r="Q6" t="s">
        <v>24</v>
      </c>
      <c r="R6" s="1">
        <f>(100+R5)/100</f>
        <v>1.02</v>
      </c>
      <c r="W6" s="85" t="s">
        <v>74</v>
      </c>
      <c r="X6" s="85"/>
    </row>
    <row r="7" spans="2:24" x14ac:dyDescent="0.25">
      <c r="B7" s="11">
        <v>-48</v>
      </c>
      <c r="D7" t="s">
        <v>103</v>
      </c>
      <c r="F7" t="s">
        <v>100</v>
      </c>
      <c r="H7" t="s">
        <v>108</v>
      </c>
      <c r="J7" t="s">
        <v>38</v>
      </c>
      <c r="K7" s="1">
        <v>1.1299999999999999</v>
      </c>
      <c r="L7" s="1">
        <v>0.13</v>
      </c>
      <c r="N7" s="79" t="s">
        <v>79</v>
      </c>
      <c r="O7" s="79">
        <v>0.64</v>
      </c>
      <c r="Q7" t="s">
        <v>25</v>
      </c>
      <c r="R7" s="1">
        <f>1+(1-R6^3)/10</f>
        <v>0.99387919999999996</v>
      </c>
      <c r="W7" s="86" t="s">
        <v>75</v>
      </c>
      <c r="X7" s="86"/>
    </row>
    <row r="8" spans="2:24" x14ac:dyDescent="0.25">
      <c r="B8" s="11">
        <v>-47</v>
      </c>
      <c r="D8" t="s">
        <v>104</v>
      </c>
      <c r="J8" t="s">
        <v>39</v>
      </c>
      <c r="K8" s="1">
        <v>1.17</v>
      </c>
      <c r="L8" s="1">
        <v>0.25</v>
      </c>
      <c r="W8" s="87" t="s">
        <v>73</v>
      </c>
      <c r="X8" s="87"/>
    </row>
    <row r="9" spans="2:24" x14ac:dyDescent="0.25">
      <c r="B9" s="11">
        <v>-46</v>
      </c>
      <c r="J9" t="s">
        <v>40</v>
      </c>
      <c r="K9" s="1">
        <v>1.26</v>
      </c>
      <c r="L9" s="1">
        <v>0.28999999999999998</v>
      </c>
      <c r="Q9" t="s">
        <v>21</v>
      </c>
      <c r="R9" s="10">
        <v>-1</v>
      </c>
    </row>
    <row r="10" spans="2:24" x14ac:dyDescent="0.25">
      <c r="B10" s="11">
        <v>-45</v>
      </c>
      <c r="J10" t="s">
        <v>41</v>
      </c>
      <c r="K10" s="1">
        <v>1.1499999999999999</v>
      </c>
      <c r="L10" s="1">
        <v>0.15</v>
      </c>
      <c r="Q10" t="s">
        <v>24</v>
      </c>
      <c r="R10" s="1">
        <f>(100+R9)/100</f>
        <v>0.99</v>
      </c>
    </row>
    <row r="11" spans="2:24" x14ac:dyDescent="0.25">
      <c r="B11" s="11">
        <v>-44</v>
      </c>
      <c r="J11" t="s">
        <v>42</v>
      </c>
      <c r="K11" s="1">
        <v>1.1000000000000001</v>
      </c>
      <c r="L11" s="1">
        <v>0.15</v>
      </c>
      <c r="Q11" t="s">
        <v>25</v>
      </c>
      <c r="R11" s="1">
        <f>1+(1-R10^3)/10</f>
        <v>1.0029701</v>
      </c>
    </row>
    <row r="12" spans="2:24" x14ac:dyDescent="0.25">
      <c r="B12" s="11">
        <v>-43</v>
      </c>
      <c r="J12" t="s">
        <v>43</v>
      </c>
      <c r="K12" s="1">
        <v>0.77</v>
      </c>
      <c r="L12" s="1">
        <v>0.09</v>
      </c>
    </row>
    <row r="13" spans="2:24" x14ac:dyDescent="0.25">
      <c r="B13" s="11">
        <v>-42</v>
      </c>
      <c r="J13" t="s">
        <v>57</v>
      </c>
      <c r="K13" s="1">
        <v>0.63</v>
      </c>
      <c r="L13" s="1">
        <v>-0.04</v>
      </c>
      <c r="Q13" t="s">
        <v>24</v>
      </c>
      <c r="R13" s="80">
        <f>R6*R10</f>
        <v>1.0098</v>
      </c>
    </row>
    <row r="14" spans="2:24" x14ac:dyDescent="0.25">
      <c r="B14" s="11">
        <v>-41</v>
      </c>
      <c r="J14" t="s">
        <v>128</v>
      </c>
      <c r="K14" s="1">
        <v>1.08</v>
      </c>
      <c r="L14" s="1">
        <v>-7.0000000000000007E-2</v>
      </c>
      <c r="Q14" t="s">
        <v>25</v>
      </c>
      <c r="R14" s="80">
        <f>R7*R11</f>
        <v>0.99683112061191992</v>
      </c>
    </row>
    <row r="15" spans="2:24" x14ac:dyDescent="0.25">
      <c r="B15" s="11">
        <v>-40</v>
      </c>
      <c r="J15" t="s">
        <v>131</v>
      </c>
      <c r="K15" s="1">
        <v>1.04</v>
      </c>
      <c r="L15" s="1">
        <v>0.03</v>
      </c>
    </row>
    <row r="16" spans="2:24" x14ac:dyDescent="0.25">
      <c r="B16" s="11">
        <v>-39</v>
      </c>
      <c r="J16" t="s">
        <v>129</v>
      </c>
      <c r="K16" s="1">
        <v>1.1200000000000001</v>
      </c>
      <c r="L16" s="1">
        <v>0.1</v>
      </c>
    </row>
    <row r="17" spans="2:12" x14ac:dyDescent="0.25">
      <c r="B17" s="11">
        <v>-38</v>
      </c>
      <c r="J17" t="s">
        <v>56</v>
      </c>
      <c r="K17" s="78">
        <f>IF('v0.9.9.8'!J10="Standard",K5,IF('v0.9.9.8'!J10="Straße",K6,IF('v0.9.9.8'!J10="Sport",K7,IF('v0.9.9.8'!J10="Semi-Slick",K8,IF('v0.9.9.8'!J10="Slick",K9,IF('v0.9.9.8'!J10="Drift",K10,IF('v0.9.9.8'!J10="Rallye",K11,IF('v0.9.9.8'!J10="Offroad",K12,IF('v0.9.9.8'!J10="Drag",K13,IF('v0.9.9.8'!J10="Vintage",K14,IF('v0.9.9.8'!J10="Weißwand",K15,K16)))))))))))</f>
        <v>1.0900000000000001</v>
      </c>
      <c r="L17" s="78">
        <f>IF('v0.9.9.8'!J10="Standard",L5,IF('v0.9.9.8'!J10="Straße",L6,IF('v0.9.9.8'!J10="Sport",L7,IF('v0.9.9.8'!J10="Semi-Slick",L8,IF('v0.9.9.8'!J10="Slick",L9,IF('v0.9.9.8'!J10="Drift",L10,IF('v0.9.9.8'!J10="Rallye",L11,IF('v0.9.9.8'!J10="Offroad",L12,IF('v0.9.9.8'!J10="Drag",L13,IF('v0.9.9.8'!J10="Vintage",L14,IF('v0.9.9.8'!J10="Weißwand",L15,L16)))))))))))</f>
        <v>0</v>
      </c>
    </row>
    <row r="18" spans="2:12" x14ac:dyDescent="0.25">
      <c r="B18" s="11">
        <v>-37</v>
      </c>
      <c r="J18" t="s">
        <v>116</v>
      </c>
      <c r="K18" s="78">
        <v>1.5</v>
      </c>
    </row>
    <row r="19" spans="2:12" x14ac:dyDescent="0.25">
      <c r="B19" s="11">
        <v>-36</v>
      </c>
      <c r="J19" t="s">
        <v>117</v>
      </c>
      <c r="K19" s="78">
        <f>K17*K18</f>
        <v>1.6350000000000002</v>
      </c>
    </row>
    <row r="20" spans="2:12" x14ac:dyDescent="0.25">
      <c r="B20" s="11">
        <v>-35</v>
      </c>
    </row>
    <row r="21" spans="2:12" x14ac:dyDescent="0.25">
      <c r="B21" s="11">
        <v>-34</v>
      </c>
    </row>
    <row r="22" spans="2:12" x14ac:dyDescent="0.25">
      <c r="B22" s="11">
        <v>-33</v>
      </c>
    </row>
    <row r="23" spans="2:12" x14ac:dyDescent="0.25">
      <c r="B23" s="11">
        <v>-32</v>
      </c>
    </row>
    <row r="24" spans="2:12" x14ac:dyDescent="0.25">
      <c r="B24" s="11">
        <v>-31</v>
      </c>
    </row>
    <row r="25" spans="2:12" x14ac:dyDescent="0.25">
      <c r="B25" s="11">
        <v>-30</v>
      </c>
    </row>
    <row r="26" spans="2:12" x14ac:dyDescent="0.25">
      <c r="B26" s="11">
        <v>-29</v>
      </c>
    </row>
    <row r="27" spans="2:12" x14ac:dyDescent="0.25">
      <c r="B27" s="11">
        <v>-28</v>
      </c>
    </row>
    <row r="28" spans="2:12" x14ac:dyDescent="0.25">
      <c r="B28" s="11">
        <v>-27</v>
      </c>
    </row>
    <row r="29" spans="2:12" x14ac:dyDescent="0.25">
      <c r="B29" s="11">
        <v>-26</v>
      </c>
    </row>
    <row r="30" spans="2:12" x14ac:dyDescent="0.25">
      <c r="B30" s="11">
        <v>-25</v>
      </c>
    </row>
    <row r="31" spans="2:12" x14ac:dyDescent="0.25">
      <c r="B31" s="11">
        <v>-24</v>
      </c>
    </row>
    <row r="32" spans="2:12" x14ac:dyDescent="0.25">
      <c r="B32" s="11">
        <v>-23</v>
      </c>
    </row>
    <row r="33" spans="2:2" x14ac:dyDescent="0.25">
      <c r="B33" s="11">
        <v>-22</v>
      </c>
    </row>
    <row r="34" spans="2:2" x14ac:dyDescent="0.25">
      <c r="B34" s="11">
        <v>-21</v>
      </c>
    </row>
    <row r="35" spans="2:2" x14ac:dyDescent="0.25">
      <c r="B35" s="11">
        <v>-20</v>
      </c>
    </row>
    <row r="36" spans="2:2" x14ac:dyDescent="0.25">
      <c r="B36" s="11">
        <v>-19</v>
      </c>
    </row>
    <row r="37" spans="2:2" x14ac:dyDescent="0.25">
      <c r="B37" s="11">
        <v>-18</v>
      </c>
    </row>
    <row r="38" spans="2:2" x14ac:dyDescent="0.25">
      <c r="B38" s="11">
        <v>-17</v>
      </c>
    </row>
    <row r="39" spans="2:2" x14ac:dyDescent="0.25">
      <c r="B39" s="11">
        <v>-16</v>
      </c>
    </row>
    <row r="40" spans="2:2" x14ac:dyDescent="0.25">
      <c r="B40" s="11">
        <v>-15</v>
      </c>
    </row>
    <row r="41" spans="2:2" x14ac:dyDescent="0.25">
      <c r="B41" s="11">
        <v>-14</v>
      </c>
    </row>
    <row r="42" spans="2:2" x14ac:dyDescent="0.25">
      <c r="B42" s="11">
        <v>-13</v>
      </c>
    </row>
    <row r="43" spans="2:2" x14ac:dyDescent="0.25">
      <c r="B43" s="11">
        <v>-12</v>
      </c>
    </row>
    <row r="44" spans="2:2" x14ac:dyDescent="0.25">
      <c r="B44" s="11">
        <v>-11</v>
      </c>
    </row>
    <row r="45" spans="2:2" x14ac:dyDescent="0.25">
      <c r="B45" s="11">
        <v>-10</v>
      </c>
    </row>
    <row r="46" spans="2:2" x14ac:dyDescent="0.25">
      <c r="B46" s="11">
        <v>-9</v>
      </c>
    </row>
    <row r="47" spans="2:2" x14ac:dyDescent="0.25">
      <c r="B47" s="11">
        <v>-8</v>
      </c>
    </row>
    <row r="48" spans="2:2" x14ac:dyDescent="0.25">
      <c r="B48" s="11">
        <v>-7</v>
      </c>
    </row>
    <row r="49" spans="2:2" x14ac:dyDescent="0.25">
      <c r="B49" s="11">
        <v>-6</v>
      </c>
    </row>
    <row r="50" spans="2:2" x14ac:dyDescent="0.25">
      <c r="B50" s="11">
        <v>-5</v>
      </c>
    </row>
    <row r="51" spans="2:2" x14ac:dyDescent="0.25">
      <c r="B51" s="11">
        <v>-4</v>
      </c>
    </row>
    <row r="52" spans="2:2" x14ac:dyDescent="0.25">
      <c r="B52" s="11">
        <v>-3</v>
      </c>
    </row>
    <row r="53" spans="2:2" x14ac:dyDescent="0.25">
      <c r="B53" s="11">
        <v>-2</v>
      </c>
    </row>
    <row r="54" spans="2:2" x14ac:dyDescent="0.25">
      <c r="B54" s="11">
        <v>-1</v>
      </c>
    </row>
    <row r="55" spans="2:2" x14ac:dyDescent="0.25">
      <c r="B55" s="11">
        <v>0</v>
      </c>
    </row>
    <row r="56" spans="2:2" x14ac:dyDescent="0.25">
      <c r="B56" s="11">
        <v>1</v>
      </c>
    </row>
    <row r="57" spans="2:2" x14ac:dyDescent="0.25">
      <c r="B57" s="11">
        <v>2</v>
      </c>
    </row>
    <row r="58" spans="2:2" x14ac:dyDescent="0.25">
      <c r="B58" s="11">
        <v>3</v>
      </c>
    </row>
    <row r="59" spans="2:2" x14ac:dyDescent="0.25">
      <c r="B59" s="11">
        <v>4</v>
      </c>
    </row>
    <row r="60" spans="2:2" x14ac:dyDescent="0.25">
      <c r="B60" s="11">
        <v>5</v>
      </c>
    </row>
    <row r="61" spans="2:2" x14ac:dyDescent="0.25">
      <c r="B61" s="11">
        <v>6</v>
      </c>
    </row>
    <row r="62" spans="2:2" x14ac:dyDescent="0.25">
      <c r="B62" s="11">
        <v>7</v>
      </c>
    </row>
    <row r="63" spans="2:2" x14ac:dyDescent="0.25">
      <c r="B63" s="11">
        <v>8</v>
      </c>
    </row>
    <row r="64" spans="2:2" x14ac:dyDescent="0.25">
      <c r="B64" s="11">
        <v>9</v>
      </c>
    </row>
    <row r="65" spans="2:2" x14ac:dyDescent="0.25">
      <c r="B65" s="11">
        <v>10</v>
      </c>
    </row>
    <row r="66" spans="2:2" x14ac:dyDescent="0.25">
      <c r="B66" s="11">
        <v>11</v>
      </c>
    </row>
    <row r="67" spans="2:2" x14ac:dyDescent="0.25">
      <c r="B67" s="11">
        <v>12</v>
      </c>
    </row>
    <row r="68" spans="2:2" x14ac:dyDescent="0.25">
      <c r="B68" s="11">
        <v>13</v>
      </c>
    </row>
    <row r="69" spans="2:2" x14ac:dyDescent="0.25">
      <c r="B69" s="11">
        <v>14</v>
      </c>
    </row>
    <row r="70" spans="2:2" x14ac:dyDescent="0.25">
      <c r="B70" s="11">
        <v>15</v>
      </c>
    </row>
    <row r="71" spans="2:2" x14ac:dyDescent="0.25">
      <c r="B71" s="11">
        <v>16</v>
      </c>
    </row>
    <row r="72" spans="2:2" x14ac:dyDescent="0.25">
      <c r="B72" s="11">
        <v>17</v>
      </c>
    </row>
    <row r="73" spans="2:2" x14ac:dyDescent="0.25">
      <c r="B73" s="11">
        <v>18</v>
      </c>
    </row>
    <row r="74" spans="2:2" x14ac:dyDescent="0.25">
      <c r="B74" s="11">
        <v>19</v>
      </c>
    </row>
    <row r="75" spans="2:2" x14ac:dyDescent="0.25">
      <c r="B75" s="11">
        <v>20</v>
      </c>
    </row>
    <row r="76" spans="2:2" x14ac:dyDescent="0.25">
      <c r="B76" s="11">
        <v>21</v>
      </c>
    </row>
    <row r="77" spans="2:2" x14ac:dyDescent="0.25">
      <c r="B77" s="11">
        <v>22</v>
      </c>
    </row>
    <row r="78" spans="2:2" x14ac:dyDescent="0.25">
      <c r="B78" s="11">
        <v>23</v>
      </c>
    </row>
    <row r="79" spans="2:2" x14ac:dyDescent="0.25">
      <c r="B79" s="11">
        <v>24</v>
      </c>
    </row>
    <row r="80" spans="2:2" x14ac:dyDescent="0.25">
      <c r="B80" s="11">
        <v>25</v>
      </c>
    </row>
    <row r="81" spans="2:2" x14ac:dyDescent="0.25">
      <c r="B81" s="11">
        <v>26</v>
      </c>
    </row>
    <row r="82" spans="2:2" x14ac:dyDescent="0.25">
      <c r="B82" s="11">
        <v>27</v>
      </c>
    </row>
    <row r="83" spans="2:2" x14ac:dyDescent="0.25">
      <c r="B83" s="11">
        <v>28</v>
      </c>
    </row>
    <row r="84" spans="2:2" x14ac:dyDescent="0.25">
      <c r="B84" s="11">
        <v>29</v>
      </c>
    </row>
    <row r="85" spans="2:2" x14ac:dyDescent="0.25">
      <c r="B85" s="11">
        <v>30</v>
      </c>
    </row>
    <row r="86" spans="2:2" x14ac:dyDescent="0.25">
      <c r="B86" s="11">
        <v>31</v>
      </c>
    </row>
    <row r="87" spans="2:2" x14ac:dyDescent="0.25">
      <c r="B87" s="11">
        <v>32</v>
      </c>
    </row>
    <row r="88" spans="2:2" x14ac:dyDescent="0.25">
      <c r="B88" s="11">
        <v>33</v>
      </c>
    </row>
    <row r="89" spans="2:2" x14ac:dyDescent="0.25">
      <c r="B89" s="11">
        <v>34</v>
      </c>
    </row>
    <row r="90" spans="2:2" x14ac:dyDescent="0.25">
      <c r="B90" s="11">
        <v>35</v>
      </c>
    </row>
    <row r="91" spans="2:2" x14ac:dyDescent="0.25">
      <c r="B91" s="11">
        <v>36</v>
      </c>
    </row>
    <row r="92" spans="2:2" x14ac:dyDescent="0.25">
      <c r="B92" s="11">
        <v>37</v>
      </c>
    </row>
    <row r="93" spans="2:2" x14ac:dyDescent="0.25">
      <c r="B93" s="11">
        <v>38</v>
      </c>
    </row>
    <row r="94" spans="2:2" x14ac:dyDescent="0.25">
      <c r="B94" s="11">
        <v>39</v>
      </c>
    </row>
    <row r="95" spans="2:2" x14ac:dyDescent="0.25">
      <c r="B95" s="11">
        <v>40</v>
      </c>
    </row>
    <row r="96" spans="2:2" x14ac:dyDescent="0.25">
      <c r="B96" s="11">
        <v>41</v>
      </c>
    </row>
    <row r="97" spans="2:2" x14ac:dyDescent="0.25">
      <c r="B97" s="11">
        <v>42</v>
      </c>
    </row>
    <row r="98" spans="2:2" x14ac:dyDescent="0.25">
      <c r="B98" s="11">
        <v>43</v>
      </c>
    </row>
    <row r="99" spans="2:2" x14ac:dyDescent="0.25">
      <c r="B99" s="11">
        <v>44</v>
      </c>
    </row>
    <row r="100" spans="2:2" x14ac:dyDescent="0.25">
      <c r="B100" s="11">
        <v>45</v>
      </c>
    </row>
    <row r="101" spans="2:2" x14ac:dyDescent="0.25">
      <c r="B101" s="11">
        <v>46</v>
      </c>
    </row>
    <row r="102" spans="2:2" x14ac:dyDescent="0.25">
      <c r="B102" s="11">
        <v>47</v>
      </c>
    </row>
    <row r="103" spans="2:2" x14ac:dyDescent="0.25">
      <c r="B103" s="11">
        <v>48</v>
      </c>
    </row>
    <row r="104" spans="2:2" x14ac:dyDescent="0.25">
      <c r="B104" s="11">
        <v>49</v>
      </c>
    </row>
    <row r="105" spans="2:2" x14ac:dyDescent="0.25">
      <c r="B105" s="11">
        <v>50</v>
      </c>
    </row>
  </sheetData>
  <mergeCells count="3">
    <mergeCell ref="W6:X6"/>
    <mergeCell ref="W7:X7"/>
    <mergeCell ref="W8:X8"/>
  </mergeCells>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v0.9.9.8</vt:lpstr>
      <vt:lpstr>CALC</vt:lpstr>
      <vt:lpstr>DATA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Tim Meyer</dc:creator>
  <cp:lastModifiedBy>Tim Meyer</cp:lastModifiedBy>
  <dcterms:created xsi:type="dcterms:W3CDTF">2026-05-26T14:52:07Z</dcterms:created>
  <dcterms:modified xsi:type="dcterms:W3CDTF">2026-07-30T08:59:01Z</dcterms:modified>
</cp:coreProperties>
</file>