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D7EB43B4-0863-43BB-A0C3-7F8DEC6732A5}" xr6:coauthVersionLast="47" xr6:coauthVersionMax="47" xr10:uidLastSave="{00000000-0000-0000-0000-000000000000}"/>
  <bookViews>
    <workbookView xWindow="7065" yWindow="1200" windowWidth="37425" windowHeight="11730" xr2:uid="{5C2A3C15-C71C-4602-A0C2-E59566995DB2}"/>
  </bookViews>
  <sheets>
    <sheet name="v0.9d" sheetId="1" r:id="rId1"/>
    <sheet name="CALC" sheetId="2" r:id="rId2"/>
    <sheet name="LIST"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8" i="1" l="1"/>
  <c r="O7" i="1"/>
  <c r="AA9" i="2"/>
  <c r="O19" i="2"/>
  <c r="O20" i="2" s="1"/>
  <c r="O34" i="2"/>
  <c r="O36" i="2" s="1"/>
  <c r="O30" i="2"/>
  <c r="O31" i="2" s="1"/>
  <c r="O32" i="2" s="1"/>
  <c r="O22" i="2"/>
  <c r="O26" i="2"/>
  <c r="S29" i="2"/>
  <c r="S30" i="2" s="1"/>
  <c r="S31" i="2" s="1"/>
  <c r="S33" i="2"/>
  <c r="S35" i="2" s="1"/>
  <c r="S25" i="2"/>
  <c r="S21" i="2"/>
  <c r="W31" i="2"/>
  <c r="O12" i="1"/>
  <c r="AE10" i="2"/>
  <c r="AN7" i="1" s="1"/>
  <c r="W9" i="2"/>
  <c r="AE14" i="2"/>
  <c r="AN8" i="1" s="1"/>
  <c r="AE15" i="2"/>
  <c r="AN12" i="1" s="1"/>
  <c r="O35" i="2" l="1"/>
  <c r="S34" i="2"/>
  <c r="G13" i="3"/>
  <c r="K14" i="2"/>
  <c r="O11" i="1" s="1"/>
  <c r="K18" i="2"/>
  <c r="AE11" i="2"/>
  <c r="AN11" i="1" s="1"/>
  <c r="K7" i="2"/>
  <c r="K6" i="2"/>
  <c r="S22" i="2"/>
  <c r="O23" i="2"/>
  <c r="S27" i="2"/>
  <c r="S26" i="2"/>
  <c r="O27" i="2"/>
  <c r="O28" i="2"/>
  <c r="C11" i="2"/>
  <c r="C4" i="2"/>
  <c r="C21" i="2"/>
  <c r="C23" i="2" s="1"/>
  <c r="O12" i="2" s="1"/>
  <c r="C16" i="2"/>
  <c r="C17" i="2" s="1"/>
  <c r="C19" i="2" s="1"/>
  <c r="O10" i="2" s="1"/>
  <c r="O24" i="2" l="1"/>
  <c r="S23" i="2"/>
  <c r="C13" i="2"/>
  <c r="O6" i="2" s="1"/>
  <c r="G6" i="2"/>
  <c r="K11" i="2"/>
  <c r="K10" i="2"/>
  <c r="K21" i="2"/>
  <c r="O15" i="1" s="1"/>
  <c r="AE6" i="2"/>
  <c r="AA6" i="2"/>
  <c r="AA7" i="2"/>
  <c r="C12" i="2"/>
  <c r="S6" i="2"/>
  <c r="W29" i="2" s="1"/>
  <c r="C22" i="2"/>
  <c r="AE7" i="2" s="1"/>
  <c r="C18" i="2"/>
  <c r="C8" i="2"/>
  <c r="AI7" i="1" l="1"/>
  <c r="G9" i="2"/>
  <c r="G10" i="2" s="1"/>
  <c r="W30" i="2"/>
  <c r="C14" i="2"/>
  <c r="O7" i="2" s="1"/>
  <c r="G7" i="2"/>
  <c r="S8" i="2"/>
  <c r="S10" i="2"/>
  <c r="S14" i="2" s="1"/>
  <c r="S18" i="2" s="1"/>
  <c r="C24" i="2"/>
  <c r="O13" i="2" s="1"/>
  <c r="AE17" i="2"/>
  <c r="O9" i="2"/>
  <c r="O15" i="2" s="1"/>
  <c r="O38" i="2" s="1"/>
  <c r="S11" i="2"/>
  <c r="S7" i="2"/>
  <c r="T7" i="1" l="1"/>
  <c r="S37" i="2"/>
  <c r="W26" i="2" s="1"/>
  <c r="W34" i="2" s="1"/>
  <c r="AD7" i="1" s="1"/>
  <c r="G14" i="2"/>
  <c r="J8" i="1" s="1"/>
  <c r="G13" i="2"/>
  <c r="J7" i="1" s="1"/>
  <c r="O16" i="2"/>
  <c r="O39" i="2" s="1"/>
  <c r="AE18" i="2"/>
  <c r="AN15" i="1" s="1"/>
  <c r="Y7" i="1"/>
  <c r="W12" i="2"/>
  <c r="W16" i="2" s="1"/>
  <c r="S15" i="2"/>
  <c r="S19" i="2" s="1"/>
  <c r="T8" i="1" l="1"/>
  <c r="S38" i="2"/>
  <c r="W27" i="2" s="1"/>
  <c r="W35" i="2" s="1"/>
  <c r="AD8" i="1" s="1"/>
  <c r="W39" i="2"/>
  <c r="AD11" i="1" s="1"/>
  <c r="W21" i="2"/>
  <c r="Y8" i="1"/>
  <c r="W13" i="2"/>
  <c r="W17" i="2" s="1"/>
  <c r="W40" i="2" l="1"/>
  <c r="AD12" i="1" s="1"/>
  <c r="W2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sz val="12"/>
            <color indexed="81"/>
            <rFont val="Arial Black"/>
            <family val="2"/>
          </rPr>
          <t>Bitte alle angegebenen Fahrzeugdaten eingeben.
▼ - Dropdown Menü</t>
        </r>
        <r>
          <rPr>
            <sz val="9"/>
            <color indexed="81"/>
            <rFont val="Segoe UI"/>
            <family val="2"/>
          </rPr>
          <t xml:space="preserve">
</t>
        </r>
      </text>
    </comment>
    <comment ref="J4" authorId="0" shapeId="0" xr:uid="{19CA0D1D-4CC6-4C9C-9F7B-D006580BE896}">
      <text>
        <r>
          <rPr>
            <sz val="12"/>
            <color indexed="81"/>
            <rFont val="Arial Black"/>
            <family val="2"/>
          </rPr>
          <t>Über das untere Dropdown-Menü bitte die Reifenmischung auswählen.
Bei Standard einfach Straße wählen.</t>
        </r>
        <r>
          <rPr>
            <sz val="9"/>
            <color indexed="81"/>
            <rFont val="Segoe UI"/>
            <family val="2"/>
          </rPr>
          <t xml:space="preserve">
</t>
        </r>
      </text>
    </comment>
    <comment ref="O4" authorId="0" shapeId="0" xr:uid="{65A4946B-518C-495C-BE39-E36950F3E01C}">
      <text>
        <r>
          <rPr>
            <sz val="12"/>
            <color indexed="81"/>
            <rFont val="Arial Black"/>
            <family val="2"/>
          </rPr>
          <t>...</t>
        </r>
        <r>
          <rPr>
            <sz val="9"/>
            <color indexed="81"/>
            <rFont val="Segoe UI"/>
            <family val="2"/>
          </rPr>
          <t xml:space="preserve">
</t>
        </r>
      </text>
    </comment>
    <comment ref="T4" authorId="0" shapeId="0" xr:uid="{126D96E4-6292-4664-8BDF-07DF56B24607}">
      <text>
        <r>
          <rPr>
            <sz val="12"/>
            <color indexed="81"/>
            <rFont val="Arial Black"/>
            <family val="2"/>
          </rPr>
          <t>Über Offset% kann das Verhältnis von Voder- zu Hinterachse verändert werden
Mit Härte% kann die Härte der Stabilisatoren im ganzen angepasst werden.</t>
        </r>
      </text>
    </comment>
    <comment ref="Y4" authorId="0" shapeId="0" xr:uid="{023272B8-1413-4F78-9D70-02099D99C935}">
      <text>
        <r>
          <rPr>
            <sz val="12"/>
            <color indexed="81"/>
            <rFont val="Arial Black"/>
            <family val="2"/>
          </rPr>
          <t>Über Offset% kann das Verhältnis von Voder- zu Hinterachse verändert werden
Mit Härte% kann die Härte der Federn im ganzen angepasst werden.
Die Dämpfer passen sich automatisch den neuen Federwerten an.</t>
        </r>
        <r>
          <rPr>
            <sz val="9"/>
            <color indexed="81"/>
            <rFont val="Segoe UI"/>
            <family val="2"/>
          </rPr>
          <t xml:space="preserve">
</t>
        </r>
      </text>
    </comment>
    <comment ref="AD4" authorId="0" shapeId="0" xr:uid="{34A98B0D-4545-4CE7-848E-1F181E932EF8}">
      <text>
        <r>
          <rPr>
            <sz val="12"/>
            <color indexed="81"/>
            <rFont val="Arial Black"/>
            <family val="2"/>
          </rPr>
          <t>...</t>
        </r>
        <r>
          <rPr>
            <sz val="9"/>
            <color indexed="81"/>
            <rFont val="Segoe UI"/>
            <family val="2"/>
          </rPr>
          <t xml:space="preserve">
</t>
        </r>
      </text>
    </comment>
    <comment ref="AI4" authorId="0" shapeId="0" xr:uid="{B9684F92-2EB2-4582-874E-C441BF36E3E0}">
      <text>
        <r>
          <rPr>
            <sz val="12"/>
            <color indexed="81"/>
            <rFont val="Arial Black"/>
            <family val="2"/>
          </rPr>
          <t>Sollte die Hinterachse zu aktiv beim anbremsen sein oder die hinteren Räder in extremen Situationen blockieren, reicht es in der Regel die Balance um einen Punkt zu erhöhen.</t>
        </r>
        <r>
          <rPr>
            <sz val="9"/>
            <color indexed="81"/>
            <rFont val="Segoe UI"/>
            <family val="2"/>
          </rPr>
          <t xml:space="preserve">
</t>
        </r>
      </text>
    </comment>
    <comment ref="AN4" authorId="0" shapeId="0" xr:uid="{F2537F02-6D0F-4FA4-A421-EDA6CB758EE7}">
      <text>
        <r>
          <rPr>
            <sz val="12"/>
            <color indexed="81"/>
            <rFont val="Arial Black"/>
            <family val="2"/>
          </rPr>
          <t>Bei Auswahl eines Presets und der Antriebsart AWD, ändert sich auch der Balance Wert.</t>
        </r>
        <r>
          <rPr>
            <sz val="9"/>
            <color indexed="81"/>
            <rFont val="Segoe UI"/>
            <family val="2"/>
          </rPr>
          <t xml:space="preserve">
</t>
        </r>
      </text>
    </comment>
    <comment ref="E10" authorId="0" shapeId="0" xr:uid="{C330866C-9F89-425C-B62A-DD5627E3CDE8}">
      <text>
        <r>
          <rPr>
            <sz val="11"/>
            <color indexed="81"/>
            <rFont val="Arial Black"/>
            <family val="2"/>
          </rPr>
          <t>0,37 fährt sich bei fast allen Autos am neutralsten.
Wenn die Forza Aero verbaut ist, ist es ein guter Anfang den Frontflügel auf das Maximum zu stellen und über den Heckflügel sich 0,37 anzunähern.
Der 0,37 Bereich ist dann auch recht groß und man kann in diesem Bereich dann das Auto über den Heckflügel eher untersteuernd oder übersteuernd abstimmen.</t>
        </r>
        <r>
          <rPr>
            <sz val="12"/>
            <color indexed="81"/>
            <rFont val="Arial Black"/>
            <family val="2"/>
          </rPr>
          <t xml:space="preserve">
</t>
        </r>
      </text>
    </comment>
  </commentList>
</comments>
</file>

<file path=xl/sharedStrings.xml><?xml version="1.0" encoding="utf-8"?>
<sst xmlns="http://schemas.openxmlformats.org/spreadsheetml/2006/main" count="234" uniqueCount="105">
  <si>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</si>
  <si>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</si>
  <si>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</si>
  <si>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</si>
  <si>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</si>
  <si>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</si>
  <si>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</si>
  <si>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</si>
  <si>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</si>
  <si>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</si>
  <si>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</si>
  <si>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</si>
  <si>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</si>
  <si>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</si>
  <si>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</si>
  <si>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</si>
  <si>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</si>
  <si>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Federrate MAX Gewicht</t>
  </si>
  <si>
    <t>Dämpfer</t>
  </si>
  <si>
    <t>Federrate MAX Front</t>
  </si>
  <si>
    <t>Federrate MAX Heck</t>
  </si>
  <si>
    <t>Stabilisator</t>
  </si>
  <si>
    <t>Stabilisator Front</t>
  </si>
  <si>
    <t>Stabilisator Heck</t>
  </si>
  <si>
    <t>Offset</t>
  </si>
  <si>
    <t>Bremse</t>
  </si>
  <si>
    <t>Balance</t>
  </si>
  <si>
    <t>Offset Front</t>
  </si>
  <si>
    <t>Offset Heck</t>
  </si>
  <si>
    <t>Differential</t>
  </si>
  <si>
    <t>Härte</t>
  </si>
  <si>
    <t>Härte Front</t>
  </si>
  <si>
    <t>Härte Heck</t>
  </si>
  <si>
    <t>Aero</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</si>
  <si>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</si>
  <si>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</si>
  <si>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</si>
  <si>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</si>
  <si>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</si>
  <si>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</si>
  <si>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</si>
  <si>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</si>
  <si>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</si>
  <si>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</si>
  <si>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</si>
  <si>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</si>
  <si>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</si>
  <si>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</si>
  <si>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</si>
  <si>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</si>
  <si>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</si>
  <si>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</si>
  <si>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</si>
  <si>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</si>
  <si>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</si>
  <si>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</si>
  <si>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</si>
  <si>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</si>
  <si>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</si>
  <si>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</si>
  <si>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</si>
  <si>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</si>
  <si>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</si>
  <si>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</si>
  <si>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</si>
  <si>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</si>
  <si>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</si>
  <si>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</si>
  <si>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Default</t>
  </si>
  <si>
    <t>Offset%</t>
  </si>
  <si>
    <t>Härte%</t>
  </si>
  <si>
    <t>Gewicht in KG</t>
  </si>
  <si>
    <t>Federrate</t>
  </si>
  <si>
    <t>Wert Max</t>
  </si>
  <si>
    <t>Wert</t>
  </si>
  <si>
    <t>Preset</t>
  </si>
  <si>
    <t>Balance Preset</t>
  </si>
  <si>
    <t>Futura Extra Black Condensed  20pt</t>
  </si>
  <si>
    <t>Akzidenz Grotesk BE Ex 14 pt</t>
  </si>
  <si>
    <t>Frabcode #E83382</t>
  </si>
  <si>
    <t>Farbcode #F26235</t>
  </si>
  <si>
    <t>Farbcode #EC4C59</t>
  </si>
  <si>
    <t>Balanced</t>
  </si>
  <si>
    <t>Dynamik</t>
  </si>
  <si>
    <t>Race</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</si>
  <si>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</si>
  <si>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</si>
  <si>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</si>
  <si>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</si>
  <si>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</si>
  <si>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</si>
  <si>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</si>
  <si>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</si>
  <si>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</si>
  <si>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</si>
  <si>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</si>
  <si>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</si>
  <si>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</si>
  <si>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</si>
  <si>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</si>
  <si>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</si>
  <si>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</si>
  <si>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</si>
  <si>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</si>
  <si>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v.09d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</si>
</sst>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0000"/>
  </numFmts>
  <fonts count="15"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2"/>
      <color indexed="81"/>
      <name val="Arial Black"/>
      <family val="2"/>
    </font>
    <font>
      <sz val="11"/>
      <color indexed="81"/>
      <name val="Arial Black"/>
      <family val="2"/>
    </font>
    <font>
      <sz val="9"/>
      <color indexed="81"/>
      <name val="Segoe UI"/>
      <family val="2"/>
    </font>
    <font>
      <sz val="16"/>
      <color rgb="FF373637"/>
      <name val="Segoe UI"/>
      <family val="2"/>
    </font>
    <font>
      <b/>
      <sz val="13"/>
      <color theme="0"/>
      <name val="Akzidenz Grotesk BE Ex"/>
      <family val="2"/>
    </font>
    <font>
      <b/>
      <i/>
      <sz val="11"/>
      <color theme="1"/>
      <name val="Akzidenz Grotesk BE Ex"/>
      <family val="2"/>
    </font>
    <font>
      <strike/>
      <sz val="11"/>
      <color theme="1"/>
      <name val="Calibri"/>
      <family val="2"/>
      <scheme val="minor"/>
    </font>
  </fonts>
  <fills count="9">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164" fontId="0" fillId="0" borderId="0" xfId="0" applyNumberFormat="1" applyAlignment="1">
      <alignment horizontal="right"/>
    </xf>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3" fillId="0" borderId="0" xfId="0" applyFont="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left" vertical="center"/>
    </xf>
    <xf numFmtId="0" fontId="5" fillId="0" borderId="0" xfId="0" applyFont="1" applyAlignment="1">
      <alignment horizontal="right" vertical="center"/>
    </xf>
    <xf numFmtId="0" fontId="5" fillId="0" borderId="0" xfId="0" applyFont="1" applyAlignment="1">
      <alignment horizontal="center"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0" fontId="7" fillId="0" borderId="0" xfId="0" applyFont="1" applyAlignment="1">
      <alignment horizontal="left" vertical="center"/>
    </xf>
    <xf numFmtId="0" fontId="7" fillId="0" borderId="0" xfId="0" applyFont="1" applyAlignment="1">
      <alignment horizontal="right" vertical="center"/>
    </xf>
    <xf numFmtId="0" fontId="0" fillId="0" borderId="1" xfId="0" applyBorder="1" applyAlignment="1">
      <alignment horizontal="right"/>
    </xf>
    <xf numFmtId="0" fontId="0" fillId="0" borderId="2" xfId="0" applyBorder="1"/>
    <xf numFmtId="0" fontId="0" fillId="0" borderId="2" xfId="0" applyBorder="1" applyAlignment="1">
      <alignment horizontal="right"/>
    </xf>
    <xf numFmtId="0" fontId="0" fillId="0" borderId="2" xfId="0" applyBorder="1" applyAlignment="1">
      <alignment horizontal="left"/>
    </xf>
    <xf numFmtId="164" fontId="0" fillId="0" borderId="2" xfId="0" applyNumberFormat="1" applyBorder="1" applyAlignment="1">
      <alignment horizontal="right" vertical="center"/>
    </xf>
    <xf numFmtId="0" fontId="0" fillId="0" borderId="2" xfId="0" applyBorder="1" applyAlignment="1">
      <alignment horizontal="right" vertical="center"/>
    </xf>
    <xf numFmtId="0" fontId="0" fillId="0" borderId="3" xfId="0"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0" fillId="0" borderId="4" xfId="0" applyBorder="1" applyAlignment="1">
      <alignment horizontal="right"/>
    </xf>
    <xf numFmtId="0" fontId="0" fillId="0" borderId="5" xfId="0" applyBorder="1"/>
    <xf numFmtId="0" fontId="0" fillId="0" borderId="4" xfId="0" applyBorder="1" applyAlignment="1">
      <alignment horizontal="center" vertical="center"/>
    </xf>
    <xf numFmtId="0" fontId="5" fillId="0" borderId="5" xfId="0" applyFont="1" applyBorder="1" applyAlignment="1">
      <alignment horizontal="center" vertical="center"/>
    </xf>
    <xf numFmtId="0" fontId="0" fillId="0" borderId="6" xfId="0" applyBorder="1" applyAlignment="1">
      <alignment horizontal="right"/>
    </xf>
    <xf numFmtId="0" fontId="5" fillId="0" borderId="7" xfId="0" applyFont="1" applyBorder="1"/>
    <xf numFmtId="0" fontId="5" fillId="0" borderId="7" xfId="0" applyFont="1" applyBorder="1" applyAlignment="1">
      <alignment horizontal="right"/>
    </xf>
    <xf numFmtId="0" fontId="5" fillId="0" borderId="7" xfId="0" applyFont="1" applyBorder="1" applyAlignment="1">
      <alignment horizontal="left"/>
    </xf>
    <xf numFmtId="164" fontId="5" fillId="0" borderId="7" xfId="0" applyNumberFormat="1" applyFont="1" applyBorder="1" applyAlignment="1">
      <alignment horizontal="right" vertical="center"/>
    </xf>
    <xf numFmtId="0" fontId="5" fillId="0" borderId="7" xfId="0" applyFont="1" applyBorder="1" applyAlignment="1">
      <alignment horizontal="right" vertical="center"/>
    </xf>
    <xf numFmtId="0" fontId="5" fillId="0" borderId="8" xfId="0" applyFont="1" applyBorder="1"/>
    <xf numFmtId="2" fontId="7" fillId="0" borderId="0" xfId="0" applyNumberFormat="1" applyFont="1" applyAlignment="1">
      <alignment horizontal="right" vertical="center"/>
    </xf>
    <xf numFmtId="167" fontId="0" fillId="0" borderId="0" xfId="0" applyNumberFormat="1"/>
    <xf numFmtId="2" fontId="5" fillId="0" borderId="0" xfId="0" applyNumberFormat="1" applyFont="1" applyAlignment="1">
      <alignment horizontal="right" vertical="center"/>
    </xf>
    <xf numFmtId="2" fontId="0" fillId="2" borderId="0" xfId="0" applyNumberFormat="1" applyFill="1"/>
    <xf numFmtId="0" fontId="11" fillId="0" borderId="0" xfId="0" applyFont="1" applyAlignment="1">
      <alignment horizontal="left" vertical="center" wrapText="1"/>
    </xf>
    <xf numFmtId="0" fontId="11" fillId="0" borderId="0" xfId="0" applyFont="1" applyAlignment="1">
      <alignment horizontal="right" vertical="center" wrapText="1"/>
    </xf>
    <xf numFmtId="1" fontId="5" fillId="0" borderId="9" xfId="0" applyNumberFormat="1" applyFont="1" applyBorder="1" applyAlignment="1">
      <alignment horizontal="right" vertical="center"/>
    </xf>
    <xf numFmtId="0" fontId="12" fillId="8" borderId="0" xfId="0" applyFont="1" applyFill="1" applyAlignment="1">
      <alignment vertical="center"/>
    </xf>
    <xf numFmtId="0" fontId="13" fillId="0" borderId="0" xfId="0" applyFont="1"/>
    <xf numFmtId="0" fontId="14" fillId="0" borderId="0" xfId="0" applyFont="1"/>
    <xf numFmtId="2" fontId="14" fillId="0" borderId="0" xfId="0" applyNumberFormat="1" applyFont="1"/>
    <xf numFmtId="164" fontId="14" fillId="2" borderId="0" xfId="0" applyNumberFormat="1" applyFont="1" applyFill="1"/>
    <xf numFmtId="0" fontId="5" fillId="0" borderId="9" xfId="0" applyFont="1" applyBorder="1" applyAlignment="1">
      <alignment horizontal="center" vertical="center"/>
    </xf>
    <xf numFmtId="0" fontId="3" fillId="0" borderId="0" xfId="0" applyFont="1" applyAlignment="1">
      <alignment horizontal="center" vertical="center"/>
    </xf>
    <xf numFmtId="0" fontId="12" fillId="7" borderId="9" xfId="0" applyFont="1" applyFill="1" applyBorder="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cellXfs>
  <cellStyles count="1">
    <cellStyle name="Standard" xfId="0" builtinId="0"/>
  </cellStyles>
  <dxfs count="0"/>
  <tableStyles count="0" defaultTableStyle="TableStyleMedium2" defaultPivotStyle="PivotStyleLight16"/>
  <colors>
    <mruColors>
      <color rgb="FFF26235"/>
      <color rgb="FFE83382"/>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1:AO23"/>
  <sheetViews>
    <sheetView showGridLines="0" tabSelected="1" zoomScale="85" zoomScaleNormal="85" workbookViewId="0">
      <selection activeCell="C20" sqref="C20"/>
    </sheetView>
  </sheetViews>
  <sheetFormatPr baseColWidth="10" defaultRowHeight="15" x14ac:dyDescent="0.25"/>
  <cols>
    <col min="1" max="2" width="1" customWidth="1"/>
    <col min="3" max="3" width="3.28515625" style="20" customWidth="1"/>
    <col min="4" max="4" width="28.5703125" bestFit="1" customWidth="1"/>
    <col min="5" max="5" width="17.7109375" customWidth="1"/>
    <col min="6" max="7" width="1.42578125" customWidth="1"/>
    <col min="8" max="8" width="2.28515625" style="20" customWidth="1"/>
    <col min="9" max="9" width="26.7109375" customWidth="1"/>
    <col min="10" max="10" width="17.7109375" customWidth="1"/>
    <col min="11" max="11" width="1.42578125" customWidth="1"/>
    <col min="12" max="12" width="1.42578125" style="18" customWidth="1"/>
    <col min="13" max="13" width="2.28515625" style="19" customWidth="1"/>
    <col min="14" max="14" width="26.7109375" customWidth="1"/>
    <col min="15" max="15" width="17.7109375" customWidth="1"/>
    <col min="16" max="16" width="1.42578125" customWidth="1"/>
    <col min="17" max="17" width="1.42578125" style="18" customWidth="1"/>
    <col min="18" max="18" width="2.28515625" style="19" customWidth="1"/>
    <col min="19" max="19" width="26.7109375" customWidth="1"/>
    <col min="20" max="20" width="17.7109375" customWidth="1"/>
    <col min="21" max="21" width="1.42578125" customWidth="1"/>
    <col min="22" max="22" width="1.42578125" style="18" customWidth="1"/>
    <col min="23" max="23" width="2.28515625" style="19" customWidth="1"/>
    <col min="24" max="24" width="26.7109375" customWidth="1"/>
    <col min="25" max="25" width="17.7109375" customWidth="1"/>
    <col min="26" max="26" width="1.42578125" customWidth="1"/>
    <col min="27" max="27" width="1.42578125" style="18" customWidth="1"/>
    <col min="28" max="28" width="2.28515625" style="19" customWidth="1"/>
    <col min="29" max="29" width="26.7109375" customWidth="1"/>
    <col min="30" max="30" width="17.7109375" customWidth="1"/>
    <col min="31" max="31" width="1.42578125" customWidth="1"/>
    <col min="32" max="32" width="1.42578125" style="18" customWidth="1"/>
    <col min="33" max="33" width="2.28515625" style="21" customWidth="1"/>
    <col min="34" max="34" width="26.7109375" customWidth="1"/>
    <col min="35" max="35" width="17.7109375" customWidth="1"/>
    <col min="36" max="36" width="1.42578125" customWidth="1"/>
    <col min="37" max="37" width="1.42578125" style="18" customWidth="1"/>
    <col min="38" max="38" width="2.28515625" style="21" customWidth="1"/>
    <col min="39" max="39" width="26.7109375" customWidth="1"/>
    <col min="40" max="40" width="17.7109375" customWidth="1"/>
    <col min="41" max="41" width="3.28515625" customWidth="1"/>
  </cols>
  <sheetData>
    <row r="1" spans="3:41" ht="15.75" thickBot="1" x14ac:dyDescent="0.3"/>
    <row r="2" spans="3:41" ht="16.5" customHeight="1" x14ac:dyDescent="0.25">
      <c r="C2" s="37"/>
      <c r="D2" s="38"/>
      <c r="E2" s="38"/>
      <c r="F2" s="38"/>
      <c r="G2" s="38"/>
      <c r="H2" s="39"/>
      <c r="I2" s="38"/>
      <c r="J2" s="38"/>
      <c r="K2" s="38"/>
      <c r="L2" s="40"/>
      <c r="M2" s="41"/>
      <c r="N2" s="38"/>
      <c r="O2" s="38"/>
      <c r="P2" s="38"/>
      <c r="Q2" s="40"/>
      <c r="R2" s="41"/>
      <c r="S2" s="38"/>
      <c r="T2" s="38"/>
      <c r="U2" s="38"/>
      <c r="V2" s="40"/>
      <c r="W2" s="41"/>
      <c r="X2" s="38"/>
      <c r="Y2" s="38"/>
      <c r="Z2" s="38"/>
      <c r="AA2" s="40"/>
      <c r="AB2" s="41"/>
      <c r="AC2" s="38"/>
      <c r="AD2" s="38"/>
      <c r="AE2" s="38"/>
      <c r="AF2" s="40"/>
      <c r="AG2" s="42"/>
      <c r="AH2" s="38"/>
      <c r="AI2" s="38"/>
      <c r="AJ2" s="38"/>
      <c r="AK2" s="40"/>
      <c r="AL2" s="42"/>
      <c r="AM2" s="38"/>
      <c r="AN2" s="38"/>
      <c r="AO2" s="43"/>
    </row>
    <row r="3" spans="3:41" s="17" customFormat="1" ht="35.1" customHeight="1" x14ac:dyDescent="0.25">
      <c r="C3" s="44"/>
      <c r="D3" s="70"/>
      <c r="E3" s="70"/>
      <c r="I3" s="70"/>
      <c r="J3" s="70"/>
      <c r="N3" s="70"/>
      <c r="O3" s="70"/>
      <c r="S3" s="70"/>
      <c r="T3" s="70"/>
      <c r="X3" s="70"/>
      <c r="Y3" s="70"/>
      <c r="AC3" s="70"/>
      <c r="AD3" s="70"/>
      <c r="AH3" s="70"/>
      <c r="AI3" s="70"/>
      <c r="AM3" s="70"/>
      <c r="AN3" s="70"/>
      <c r="AO3" s="45"/>
    </row>
    <row r="4" spans="3:41" ht="25.5" x14ac:dyDescent="0.25">
      <c r="C4" s="46"/>
      <c r="D4" s="61"/>
      <c r="E4" s="62" t="s">
        <v>102</v>
      </c>
      <c r="H4"/>
      <c r="I4" s="62"/>
      <c r="J4" s="62" t="s">
        <v>102</v>
      </c>
      <c r="L4"/>
      <c r="M4"/>
      <c r="N4" s="61"/>
      <c r="O4" s="62" t="s">
        <v>102</v>
      </c>
      <c r="Q4"/>
      <c r="R4"/>
      <c r="S4" s="61"/>
      <c r="T4" s="62" t="s">
        <v>102</v>
      </c>
      <c r="V4"/>
      <c r="W4"/>
      <c r="X4" s="61"/>
      <c r="Y4" s="62" t="s">
        <v>102</v>
      </c>
      <c r="AA4"/>
      <c r="AB4"/>
      <c r="AC4" s="61"/>
      <c r="AD4" s="62" t="s">
        <v>102</v>
      </c>
      <c r="AF4"/>
      <c r="AG4"/>
      <c r="AH4" s="61"/>
      <c r="AI4" s="62" t="s">
        <v>102</v>
      </c>
      <c r="AK4"/>
      <c r="AL4"/>
      <c r="AM4" s="61"/>
      <c r="AN4" s="62" t="s">
        <v>102</v>
      </c>
      <c r="AO4" s="47"/>
    </row>
    <row r="5" spans="3:41" x14ac:dyDescent="0.25">
      <c r="C5" s="46"/>
      <c r="E5" s="20"/>
      <c r="H5"/>
      <c r="J5" s="20"/>
      <c r="L5"/>
      <c r="M5"/>
      <c r="N5" s="18"/>
      <c r="O5" s="19"/>
      <c r="Q5"/>
      <c r="R5"/>
      <c r="S5" s="18"/>
      <c r="T5" s="19"/>
      <c r="V5"/>
      <c r="W5"/>
      <c r="X5" s="18"/>
      <c r="Y5" s="19"/>
      <c r="AA5"/>
      <c r="AB5"/>
      <c r="AC5" s="18"/>
      <c r="AD5" s="19"/>
      <c r="AF5"/>
      <c r="AG5"/>
      <c r="AH5" s="18"/>
      <c r="AI5" s="21"/>
      <c r="AK5"/>
      <c r="AL5"/>
      <c r="AM5" s="18"/>
      <c r="AN5" s="21"/>
      <c r="AO5" s="47"/>
    </row>
    <row r="6" spans="3:41" s="12" customFormat="1" ht="18" customHeight="1" x14ac:dyDescent="0.25">
      <c r="C6" s="48"/>
      <c r="D6" s="35" t="s">
        <v>71</v>
      </c>
      <c r="E6" s="36">
        <v>1500</v>
      </c>
      <c r="F6" s="24"/>
      <c r="G6" s="24"/>
      <c r="H6" s="24"/>
      <c r="I6" s="22" t="s">
        <v>40</v>
      </c>
      <c r="J6" s="23"/>
      <c r="N6" s="22" t="s">
        <v>89</v>
      </c>
      <c r="O6" s="25"/>
      <c r="P6" s="24"/>
      <c r="Q6" s="24"/>
      <c r="R6" s="24"/>
      <c r="S6" s="22" t="s">
        <v>91</v>
      </c>
      <c r="T6" s="25"/>
      <c r="U6" s="24"/>
      <c r="V6" s="24"/>
      <c r="W6" s="24"/>
      <c r="X6" s="22" t="s">
        <v>8</v>
      </c>
      <c r="Y6" s="25"/>
      <c r="Z6" s="24"/>
      <c r="AA6" s="24"/>
      <c r="AB6" s="24"/>
      <c r="AC6" s="22" t="s">
        <v>92</v>
      </c>
      <c r="AD6" s="25"/>
      <c r="AE6" s="24"/>
      <c r="AF6" s="24"/>
      <c r="AG6" s="24"/>
      <c r="AH6" s="22" t="s">
        <v>65</v>
      </c>
      <c r="AI6" s="23"/>
      <c r="AJ6" s="24"/>
      <c r="AK6" s="24"/>
      <c r="AL6" s="24"/>
      <c r="AM6" s="22" t="s">
        <v>58</v>
      </c>
      <c r="AN6" s="23"/>
      <c r="AO6" s="49"/>
    </row>
    <row r="7" spans="3:41" s="12" customFormat="1" ht="18" customHeight="1" x14ac:dyDescent="0.25">
      <c r="C7" s="48"/>
      <c r="D7" s="35" t="s">
        <v>1</v>
      </c>
      <c r="E7" s="36">
        <v>50</v>
      </c>
      <c r="F7" s="24"/>
      <c r="G7" s="24"/>
      <c r="H7" s="24"/>
      <c r="I7" s="22" t="s">
        <v>58</v>
      </c>
      <c r="J7" s="59">
        <f>CALC!G13</f>
        <v>1.868058947368421</v>
      </c>
      <c r="K7" s="24"/>
      <c r="L7" s="24"/>
      <c r="M7" s="24"/>
      <c r="N7" s="22" t="s">
        <v>58</v>
      </c>
      <c r="O7" s="25">
        <f>CALC!K10*-1</f>
        <v>-1</v>
      </c>
      <c r="P7" s="24"/>
      <c r="Q7" s="24"/>
      <c r="R7" s="24"/>
      <c r="S7" s="22" t="s">
        <v>58</v>
      </c>
      <c r="T7" s="25">
        <f>CALC!O38</f>
        <v>26.530559999999998</v>
      </c>
      <c r="U7" s="24"/>
      <c r="V7" s="24"/>
      <c r="W7" s="24"/>
      <c r="X7" s="22" t="s">
        <v>58</v>
      </c>
      <c r="Y7" s="25">
        <f>CALC!S37</f>
        <v>109.61448745967999</v>
      </c>
      <c r="Z7" s="24"/>
      <c r="AA7" s="24"/>
      <c r="AB7" s="24"/>
      <c r="AC7" s="22" t="s">
        <v>58</v>
      </c>
      <c r="AD7" s="25">
        <f>CALC!W34</f>
        <v>8.2604904601968006</v>
      </c>
      <c r="AE7" s="24"/>
      <c r="AF7" s="24"/>
      <c r="AG7" s="24"/>
      <c r="AH7" s="22" t="s">
        <v>26</v>
      </c>
      <c r="AI7" s="23">
        <f>CALC!AA9</f>
        <v>51</v>
      </c>
      <c r="AJ7" s="24"/>
      <c r="AK7" s="24"/>
      <c r="AL7" s="24"/>
      <c r="AM7" s="22" t="s">
        <v>94</v>
      </c>
      <c r="AN7" s="26" t="str">
        <f>IF(E12="RWD","–",IF(E12="AWD",CALC!AE10,CALC!AE10))</f>
        <v>–</v>
      </c>
      <c r="AO7" s="49"/>
    </row>
    <row r="8" spans="3:41" s="12" customFormat="1" ht="18" customHeight="1" x14ac:dyDescent="0.25">
      <c r="C8" s="48"/>
      <c r="D8" s="35" t="s">
        <v>3</v>
      </c>
      <c r="E8" s="36">
        <v>245</v>
      </c>
      <c r="F8" s="24"/>
      <c r="G8" s="24"/>
      <c r="H8" s="24"/>
      <c r="I8" s="22" t="s">
        <v>59</v>
      </c>
      <c r="J8" s="59">
        <f>CALC!G14</f>
        <v>1.868058947368421</v>
      </c>
      <c r="N8" s="22" t="s">
        <v>59</v>
      </c>
      <c r="O8" s="25">
        <f>CALC!K11*-1</f>
        <v>-1.1000000000000001</v>
      </c>
      <c r="P8" s="24"/>
      <c r="Q8" s="24"/>
      <c r="R8" s="24"/>
      <c r="S8" s="22" t="s">
        <v>59</v>
      </c>
      <c r="T8" s="25">
        <f>CALC!O39</f>
        <v>33.736290713599992</v>
      </c>
      <c r="U8" s="24"/>
      <c r="V8" s="24"/>
      <c r="W8" s="24"/>
      <c r="X8" s="22" t="s">
        <v>59</v>
      </c>
      <c r="Y8" s="25">
        <f>CALC!S38</f>
        <v>112.50200182031999</v>
      </c>
      <c r="Z8" s="24"/>
      <c r="AA8" s="24"/>
      <c r="AB8" s="24"/>
      <c r="AC8" s="22" t="s">
        <v>59</v>
      </c>
      <c r="AD8" s="25">
        <f>CALC!W35</f>
        <v>8.4780920326032003</v>
      </c>
      <c r="AE8" s="24"/>
      <c r="AF8" s="24"/>
      <c r="AG8" s="24"/>
      <c r="AH8" s="22"/>
      <c r="AI8" s="23"/>
      <c r="AJ8" s="24"/>
      <c r="AK8" s="24"/>
      <c r="AL8" s="24"/>
      <c r="AM8" s="22" t="s">
        <v>66</v>
      </c>
      <c r="AN8" s="26" t="str">
        <f>IF(E12="RWD","–",IF(E12="AWD",CALC!AE14,CALC!AE14))</f>
        <v>–</v>
      </c>
      <c r="AO8" s="49"/>
    </row>
    <row r="9" spans="3:41" s="12" customFormat="1" ht="18" customHeight="1" x14ac:dyDescent="0.25">
      <c r="C9" s="48"/>
      <c r="D9" s="35" t="s">
        <v>2</v>
      </c>
      <c r="E9" s="36">
        <v>245</v>
      </c>
      <c r="F9" s="24"/>
      <c r="G9" s="24"/>
      <c r="H9" s="24"/>
      <c r="I9" s="22"/>
      <c r="J9" s="23"/>
      <c r="K9" s="24"/>
      <c r="L9" s="24"/>
      <c r="M9" s="24"/>
      <c r="N9" s="22"/>
      <c r="O9" s="25"/>
      <c r="P9" s="24"/>
      <c r="Q9" s="24"/>
      <c r="R9" s="24"/>
      <c r="S9" s="22"/>
      <c r="T9" s="25"/>
      <c r="U9" s="24"/>
      <c r="V9" s="24"/>
      <c r="W9" s="24"/>
      <c r="X9" s="22"/>
      <c r="Y9" s="25"/>
      <c r="Z9" s="24"/>
      <c r="AA9" s="24"/>
      <c r="AB9" s="24"/>
      <c r="AC9" s="22"/>
      <c r="AD9" s="25"/>
      <c r="AE9" s="24"/>
      <c r="AF9" s="24"/>
      <c r="AG9" s="24"/>
      <c r="AH9" s="22"/>
      <c r="AI9" s="23"/>
      <c r="AJ9" s="24"/>
      <c r="AK9" s="24"/>
      <c r="AL9" s="24"/>
      <c r="AM9" s="22"/>
      <c r="AN9" s="23"/>
      <c r="AO9" s="49"/>
    </row>
    <row r="10" spans="3:41" s="12" customFormat="1" ht="18" customHeight="1" x14ac:dyDescent="0.25">
      <c r="C10" s="48"/>
      <c r="D10" s="35" t="s">
        <v>4</v>
      </c>
      <c r="E10" s="57">
        <v>0.37</v>
      </c>
      <c r="F10" s="24"/>
      <c r="G10" s="24"/>
      <c r="H10" s="24"/>
      <c r="I10" s="22" t="s">
        <v>39</v>
      </c>
      <c r="J10" s="69" t="s">
        <v>41</v>
      </c>
      <c r="K10" s="71" t="s">
        <v>96</v>
      </c>
      <c r="L10" s="71"/>
      <c r="M10" s="64"/>
      <c r="N10" s="22" t="s">
        <v>34</v>
      </c>
      <c r="O10" s="25"/>
      <c r="P10" s="24"/>
      <c r="Q10" s="24"/>
      <c r="R10" s="24"/>
      <c r="S10" s="22"/>
      <c r="T10" s="25"/>
      <c r="U10" s="24"/>
      <c r="V10" s="24"/>
      <c r="W10" s="24"/>
      <c r="X10" s="22" t="s">
        <v>62</v>
      </c>
      <c r="Y10" s="25"/>
      <c r="Z10" s="24"/>
      <c r="AA10" s="24"/>
      <c r="AB10" s="24"/>
      <c r="AC10" s="22" t="s">
        <v>93</v>
      </c>
      <c r="AD10" s="25"/>
      <c r="AE10" s="24"/>
      <c r="AF10" s="24"/>
      <c r="AG10" s="24"/>
      <c r="AH10" s="22" t="s">
        <v>65</v>
      </c>
      <c r="AI10" s="23"/>
      <c r="AJ10" s="24"/>
      <c r="AK10" s="24"/>
      <c r="AL10" s="24"/>
      <c r="AM10" s="22" t="s">
        <v>59</v>
      </c>
      <c r="AN10" s="23"/>
      <c r="AO10" s="49"/>
    </row>
    <row r="11" spans="3:41" s="12" customFormat="1" ht="18" customHeight="1" x14ac:dyDescent="0.25">
      <c r="C11" s="48"/>
      <c r="D11" s="22"/>
      <c r="E11" s="23"/>
      <c r="F11" s="24"/>
      <c r="G11" s="24"/>
      <c r="H11" s="24"/>
      <c r="K11" s="24"/>
      <c r="L11" s="24"/>
      <c r="M11" s="24"/>
      <c r="N11" s="22" t="s">
        <v>58</v>
      </c>
      <c r="O11" s="25">
        <f>CALC!K14</f>
        <v>0.13333333333333339</v>
      </c>
      <c r="P11" s="24"/>
      <c r="Q11" s="24"/>
      <c r="R11" s="24"/>
      <c r="S11" s="22"/>
      <c r="T11" s="25"/>
      <c r="U11" s="24"/>
      <c r="V11" s="24"/>
      <c r="W11" s="24"/>
      <c r="X11" s="22" t="s">
        <v>58</v>
      </c>
      <c r="Y11" s="25" t="s">
        <v>68</v>
      </c>
      <c r="Z11" s="24"/>
      <c r="AA11" s="24"/>
      <c r="AB11" s="24"/>
      <c r="AC11" s="22" t="s">
        <v>58</v>
      </c>
      <c r="AD11" s="25">
        <f>CALC!W39</f>
        <v>3.8824305162924961</v>
      </c>
      <c r="AE11" s="24"/>
      <c r="AF11" s="24"/>
      <c r="AG11" s="24"/>
      <c r="AH11" s="22" t="s">
        <v>57</v>
      </c>
      <c r="AI11" s="23" t="s">
        <v>68</v>
      </c>
      <c r="AJ11" s="24"/>
      <c r="AK11" s="24"/>
      <c r="AL11" s="24"/>
      <c r="AM11" s="22" t="s">
        <v>94</v>
      </c>
      <c r="AN11" s="26">
        <f>IF(E12="RWD",CALC!AE11,IF(E12="AWD",CALC!AE11,"–"))</f>
        <v>75</v>
      </c>
      <c r="AO11" s="49"/>
    </row>
    <row r="12" spans="3:41" s="12" customFormat="1" ht="18" customHeight="1" x14ac:dyDescent="0.25">
      <c r="C12" s="48"/>
      <c r="D12" s="22" t="s">
        <v>85</v>
      </c>
      <c r="E12" s="69" t="s">
        <v>86</v>
      </c>
      <c r="F12" s="71" t="s">
        <v>96</v>
      </c>
      <c r="G12" s="71"/>
      <c r="H12" s="64"/>
      <c r="K12" s="24"/>
      <c r="L12" s="24"/>
      <c r="M12" s="24"/>
      <c r="N12" s="22" t="s">
        <v>59</v>
      </c>
      <c r="O12" s="25">
        <f>CALC!K17</f>
        <v>0</v>
      </c>
      <c r="P12" s="24"/>
      <c r="Q12" s="24"/>
      <c r="R12" s="24"/>
      <c r="S12" s="22"/>
      <c r="T12" s="25"/>
      <c r="U12" s="24"/>
      <c r="V12" s="24"/>
      <c r="W12" s="24"/>
      <c r="X12" s="22" t="s">
        <v>59</v>
      </c>
      <c r="Y12" s="25" t="s">
        <v>68</v>
      </c>
      <c r="Z12" s="24"/>
      <c r="AA12" s="24"/>
      <c r="AB12" s="24"/>
      <c r="AC12" s="22" t="s">
        <v>59</v>
      </c>
      <c r="AD12" s="25">
        <f>CALC!W40</f>
        <v>3.9847032553235038</v>
      </c>
      <c r="AE12" s="24"/>
      <c r="AF12" s="24"/>
      <c r="AG12" s="24"/>
      <c r="AH12" s="22"/>
      <c r="AI12" s="23"/>
      <c r="AJ12" s="24"/>
      <c r="AK12" s="24"/>
      <c r="AL12" s="24"/>
      <c r="AM12" s="22" t="s">
        <v>66</v>
      </c>
      <c r="AN12" s="26">
        <f>IF(E12="RWD",CALC!AE15,IF(E12="AWD",CALC!AE15,"–"))</f>
        <v>43</v>
      </c>
      <c r="AO12" s="49"/>
    </row>
    <row r="13" spans="3:41" s="12" customFormat="1" ht="18" customHeight="1" x14ac:dyDescent="0.25">
      <c r="C13" s="48"/>
      <c r="D13" s="24"/>
      <c r="E13" s="23"/>
      <c r="F13" s="23"/>
      <c r="G13" s="23"/>
      <c r="H13" s="23"/>
      <c r="K13" s="24"/>
      <c r="L13" s="24"/>
      <c r="M13" s="24"/>
      <c r="N13" s="22"/>
      <c r="O13" s="25"/>
      <c r="P13" s="24"/>
      <c r="Q13" s="24"/>
      <c r="R13" s="24"/>
      <c r="S13" s="22"/>
      <c r="T13" s="25"/>
      <c r="U13" s="24"/>
      <c r="V13" s="24"/>
      <c r="W13" s="24"/>
      <c r="X13" s="22"/>
      <c r="Y13" s="25"/>
      <c r="Z13" s="24"/>
      <c r="AA13" s="24"/>
      <c r="AB13" s="24"/>
      <c r="AC13" s="22"/>
      <c r="AD13" s="25"/>
      <c r="AE13" s="24"/>
      <c r="AF13" s="24"/>
      <c r="AG13" s="24"/>
      <c r="AH13" s="22"/>
      <c r="AI13" s="23"/>
      <c r="AJ13" s="24"/>
      <c r="AK13" s="24"/>
      <c r="AL13" s="24"/>
      <c r="AM13" s="22"/>
      <c r="AN13" s="23"/>
      <c r="AO13" s="49"/>
    </row>
    <row r="14" spans="3:41" s="12" customFormat="1" ht="18" customHeight="1" x14ac:dyDescent="0.25">
      <c r="C14" s="48"/>
      <c r="D14" s="22" t="s">
        <v>75</v>
      </c>
      <c r="E14" s="69" t="s">
        <v>82</v>
      </c>
      <c r="F14" s="71" t="s">
        <v>96</v>
      </c>
      <c r="G14" s="71"/>
      <c r="H14" s="64"/>
      <c r="N14" s="22" t="s">
        <v>90</v>
      </c>
      <c r="O14" s="25"/>
      <c r="P14" s="24"/>
      <c r="Q14" s="24"/>
      <c r="R14" s="24"/>
      <c r="S14" s="22" t="s">
        <v>69</v>
      </c>
      <c r="T14" s="63">
        <v>0</v>
      </c>
      <c r="U14" s="71" t="s">
        <v>96</v>
      </c>
      <c r="V14" s="71"/>
      <c r="W14" s="64"/>
      <c r="X14" s="22" t="s">
        <v>69</v>
      </c>
      <c r="Y14" s="63">
        <v>0</v>
      </c>
      <c r="Z14" s="71" t="s">
        <v>96</v>
      </c>
      <c r="AA14" s="71"/>
      <c r="AB14" s="64"/>
      <c r="AC14" s="22"/>
      <c r="AD14" s="26"/>
      <c r="AE14" s="24"/>
      <c r="AF14" s="24"/>
      <c r="AG14" s="24"/>
      <c r="AH14" s="22"/>
      <c r="AI14" s="23"/>
      <c r="AJ14" s="24"/>
      <c r="AK14" s="24"/>
      <c r="AL14" s="24"/>
      <c r="AM14" s="22" t="s">
        <v>67</v>
      </c>
      <c r="AN14" s="23"/>
      <c r="AO14" s="49"/>
    </row>
    <row r="15" spans="3:41" s="12" customFormat="1" ht="18" customHeight="1" x14ac:dyDescent="0.25">
      <c r="C15" s="48"/>
      <c r="D15" s="24"/>
      <c r="E15" s="23"/>
      <c r="F15" s="24"/>
      <c r="G15" s="24"/>
      <c r="H15" s="24"/>
      <c r="K15" s="24"/>
      <c r="L15" s="24"/>
      <c r="M15" s="24"/>
      <c r="N15" s="22" t="s">
        <v>51</v>
      </c>
      <c r="O15" s="25">
        <f>CALC!K21</f>
        <v>7</v>
      </c>
      <c r="P15" s="24"/>
      <c r="Q15" s="24"/>
      <c r="R15" s="24"/>
      <c r="S15" s="22" t="s">
        <v>70</v>
      </c>
      <c r="T15" s="63">
        <v>0</v>
      </c>
      <c r="U15" s="71" t="s">
        <v>96</v>
      </c>
      <c r="V15" s="71"/>
      <c r="W15" s="64"/>
      <c r="X15" s="22" t="s">
        <v>70</v>
      </c>
      <c r="Y15" s="63">
        <v>0</v>
      </c>
      <c r="Z15" s="71" t="s">
        <v>96</v>
      </c>
      <c r="AA15" s="71"/>
      <c r="AB15" s="64"/>
      <c r="AC15" s="22"/>
      <c r="AD15" s="26"/>
      <c r="AE15" s="24"/>
      <c r="AF15" s="24"/>
      <c r="AG15" s="24"/>
      <c r="AH15" s="22"/>
      <c r="AI15" s="23"/>
      <c r="AJ15" s="24"/>
      <c r="AK15" s="24"/>
      <c r="AL15" s="24"/>
      <c r="AM15" s="22" t="s">
        <v>26</v>
      </c>
      <c r="AN15" s="23" t="str">
        <f>IF(E12="AWD",CALC!AE18,"–")</f>
        <v>–</v>
      </c>
      <c r="AO15" s="49"/>
    </row>
    <row r="16" spans="3:41" ht="16.5" customHeight="1" thickBot="1" x14ac:dyDescent="0.3">
      <c r="C16" s="50"/>
      <c r="D16" s="51"/>
      <c r="E16" s="52"/>
      <c r="F16" s="51"/>
      <c r="G16" s="51"/>
      <c r="H16" s="51"/>
      <c r="I16" s="51"/>
      <c r="J16" s="52"/>
      <c r="K16" s="51"/>
      <c r="L16" s="51"/>
      <c r="M16" s="51"/>
      <c r="N16" s="53"/>
      <c r="O16" s="54"/>
      <c r="P16" s="51"/>
      <c r="Q16" s="51"/>
      <c r="R16" s="51"/>
      <c r="S16" s="53"/>
      <c r="T16" s="54"/>
      <c r="U16" s="51"/>
      <c r="V16" s="51"/>
      <c r="W16" s="51"/>
      <c r="X16" s="53"/>
      <c r="Y16" s="54"/>
      <c r="Z16" s="53"/>
      <c r="AA16" s="51"/>
      <c r="AB16" s="51"/>
      <c r="AC16" s="53"/>
      <c r="AD16" s="54"/>
      <c r="AE16" s="51"/>
      <c r="AF16" s="51"/>
      <c r="AG16" s="51"/>
      <c r="AH16" s="53"/>
      <c r="AI16" s="55"/>
      <c r="AJ16" s="51"/>
      <c r="AK16" s="51"/>
      <c r="AL16" s="51"/>
      <c r="AM16" s="53"/>
      <c r="AN16" s="55"/>
      <c r="AO16" s="56"/>
    </row>
    <row r="17" spans="3:41" ht="16.5" x14ac:dyDescent="0.25">
      <c r="C17"/>
      <c r="D17" s="27"/>
      <c r="E17" s="28"/>
      <c r="F17" s="27"/>
      <c r="G17" s="27"/>
      <c r="H17" s="27"/>
      <c r="I17" s="27"/>
      <c r="J17" s="28"/>
      <c r="K17" s="27"/>
      <c r="L17" s="27"/>
      <c r="M17" s="27"/>
      <c r="N17" s="29"/>
      <c r="O17" s="26"/>
      <c r="P17" s="27"/>
      <c r="Q17" s="27"/>
      <c r="R17" s="27"/>
      <c r="S17" s="29"/>
      <c r="T17" s="25"/>
      <c r="U17" s="27"/>
      <c r="V17" s="27"/>
      <c r="W17" s="27"/>
      <c r="X17" s="29"/>
      <c r="Y17" s="25"/>
      <c r="Z17" s="27"/>
      <c r="AA17" s="27"/>
      <c r="AB17" s="27"/>
      <c r="AC17" s="29"/>
      <c r="AD17" s="25"/>
      <c r="AE17" s="27"/>
      <c r="AF17" s="27"/>
      <c r="AG17" s="27"/>
      <c r="AH17" s="29"/>
      <c r="AI17" s="26"/>
      <c r="AJ17" s="27"/>
      <c r="AK17" s="27"/>
      <c r="AL17" s="27"/>
      <c r="AM17" s="29"/>
      <c r="AN17" s="26"/>
      <c r="AO17" s="27"/>
    </row>
    <row r="18" spans="3:41" ht="16.5" x14ac:dyDescent="0.25">
      <c r="C18" s="65" t="s">
        <v>103</v>
      </c>
      <c r="D18" s="27"/>
      <c r="E18" s="28"/>
      <c r="F18" s="27"/>
      <c r="G18" s="27"/>
      <c r="H18" s="27"/>
      <c r="I18" s="27"/>
      <c r="J18" s="28"/>
      <c r="K18" s="27"/>
      <c r="L18" s="27"/>
      <c r="M18" s="27"/>
      <c r="N18" s="29"/>
      <c r="O18" s="26"/>
      <c r="P18" s="27"/>
      <c r="Q18" s="27"/>
      <c r="R18" s="27"/>
      <c r="S18" s="29"/>
      <c r="T18" s="25"/>
      <c r="U18" s="27"/>
      <c r="V18" s="27"/>
      <c r="W18" s="27"/>
      <c r="X18" s="29"/>
      <c r="Y18" s="25"/>
      <c r="Z18" s="27"/>
      <c r="AA18" s="27"/>
      <c r="AB18" s="27"/>
      <c r="AC18" s="29"/>
      <c r="AD18" s="25"/>
      <c r="AE18" s="27"/>
      <c r="AF18" s="27"/>
      <c r="AG18" s="27"/>
      <c r="AH18" s="29"/>
      <c r="AI18" s="26"/>
      <c r="AJ18" s="27"/>
      <c r="AK18" s="27"/>
      <c r="AL18" s="27"/>
      <c r="AM18" s="29"/>
      <c r="AN18" s="26"/>
      <c r="AO18" s="27"/>
    </row>
    <row r="19" spans="3:41" ht="16.5" x14ac:dyDescent="0.25">
      <c r="C19" s="65" t="s">
        <v>104</v>
      </c>
      <c r="D19" s="27"/>
      <c r="E19" s="28"/>
      <c r="F19" s="27"/>
      <c r="G19" s="27"/>
      <c r="H19" s="27"/>
      <c r="I19" s="27"/>
      <c r="J19" s="28"/>
      <c r="K19" s="27"/>
      <c r="L19" s="27"/>
      <c r="M19" s="27"/>
      <c r="N19" s="29"/>
      <c r="O19" s="25"/>
      <c r="P19" s="27"/>
      <c r="Q19" s="27"/>
      <c r="R19" s="27"/>
      <c r="S19" s="29"/>
      <c r="T19" s="25"/>
      <c r="U19" s="27"/>
      <c r="V19" s="27"/>
      <c r="W19" s="27"/>
      <c r="X19" s="29"/>
      <c r="Y19" s="25"/>
      <c r="Z19" s="27"/>
      <c r="AA19" s="27"/>
      <c r="AB19" s="27"/>
      <c r="AC19" s="29"/>
      <c r="AD19" s="25"/>
      <c r="AE19" s="27"/>
      <c r="AF19" s="27"/>
      <c r="AG19" s="27"/>
      <c r="AH19" s="29"/>
      <c r="AI19" s="23"/>
      <c r="AJ19" s="27"/>
      <c r="AK19" s="27"/>
      <c r="AL19" s="27"/>
      <c r="AM19" s="29"/>
      <c r="AN19" s="23"/>
      <c r="AO19" s="27"/>
    </row>
    <row r="20" spans="3:41" ht="17.25" x14ac:dyDescent="0.3">
      <c r="C20"/>
      <c r="D20" s="30"/>
      <c r="E20" s="31"/>
      <c r="F20" s="30"/>
      <c r="G20" s="30"/>
      <c r="H20" s="30"/>
      <c r="I20" s="30"/>
      <c r="J20" s="31"/>
      <c r="K20" s="30"/>
      <c r="L20" s="30"/>
      <c r="M20" s="30"/>
      <c r="N20" s="32"/>
      <c r="O20" s="33"/>
      <c r="P20" s="30"/>
      <c r="Q20" s="30"/>
      <c r="R20" s="30"/>
      <c r="S20" s="32"/>
      <c r="T20" s="33"/>
      <c r="U20" s="30"/>
      <c r="V20" s="30"/>
      <c r="W20" s="30"/>
      <c r="X20" s="32"/>
      <c r="Y20" s="33"/>
      <c r="Z20" s="30"/>
      <c r="AA20" s="30"/>
      <c r="AB20" s="30"/>
      <c r="AC20" s="32"/>
      <c r="AD20" s="33"/>
      <c r="AE20" s="30"/>
      <c r="AF20" s="30"/>
      <c r="AG20" s="30"/>
      <c r="AH20" s="32"/>
      <c r="AI20" s="34"/>
      <c r="AJ20" s="30"/>
      <c r="AK20" s="30"/>
      <c r="AL20" s="30"/>
      <c r="AM20" s="32"/>
      <c r="AN20" s="34"/>
      <c r="AO20" s="30"/>
    </row>
    <row r="21" spans="3:41" ht="17.25" x14ac:dyDescent="0.3">
      <c r="C21"/>
      <c r="D21" s="30"/>
      <c r="E21" s="31"/>
      <c r="F21" s="30"/>
      <c r="G21" s="30"/>
      <c r="H21" s="30"/>
      <c r="I21" s="30"/>
      <c r="J21" s="31"/>
      <c r="K21" s="30"/>
      <c r="L21" s="30"/>
      <c r="M21" s="30"/>
      <c r="N21" s="32"/>
      <c r="O21" s="33"/>
      <c r="P21" s="30"/>
      <c r="Q21" s="30"/>
      <c r="R21" s="30"/>
      <c r="S21" s="32"/>
      <c r="T21" s="33"/>
      <c r="U21" s="30"/>
      <c r="V21" s="30"/>
      <c r="W21" s="30"/>
      <c r="X21" s="32"/>
      <c r="Y21" s="33"/>
      <c r="Z21" s="30"/>
      <c r="AA21" s="30"/>
      <c r="AB21" s="30"/>
      <c r="AC21" s="32"/>
      <c r="AD21" s="33"/>
      <c r="AE21" s="30"/>
      <c r="AF21" s="30"/>
      <c r="AG21" s="30"/>
      <c r="AH21" s="32"/>
      <c r="AI21" s="34"/>
      <c r="AJ21" s="30"/>
      <c r="AK21" s="30"/>
      <c r="AL21" s="30"/>
      <c r="AM21" s="32"/>
      <c r="AN21" s="34"/>
      <c r="AO21" s="30"/>
    </row>
    <row r="22" spans="3:41" ht="17.25" x14ac:dyDescent="0.3">
      <c r="D22" s="30"/>
      <c r="E22" s="31"/>
      <c r="F22" s="30"/>
      <c r="G22" s="30"/>
      <c r="H22" s="30"/>
      <c r="I22" s="32"/>
      <c r="J22" s="33"/>
      <c r="K22" s="30"/>
      <c r="L22" s="30"/>
      <c r="M22" s="30"/>
      <c r="N22" s="32"/>
      <c r="O22" s="33"/>
      <c r="P22" s="30"/>
      <c r="Q22" s="30"/>
      <c r="R22" s="30"/>
      <c r="S22" s="32"/>
      <c r="T22" s="33"/>
      <c r="U22" s="30"/>
      <c r="V22" s="30"/>
      <c r="W22" s="30"/>
      <c r="X22" s="32"/>
      <c r="Y22" s="33"/>
      <c r="Z22" s="30"/>
      <c r="AA22" s="30"/>
      <c r="AB22" s="30"/>
      <c r="AC22" s="32"/>
      <c r="AD22" s="34"/>
      <c r="AE22" s="30"/>
      <c r="AF22" s="30"/>
      <c r="AG22" s="30"/>
      <c r="AH22" s="32"/>
      <c r="AI22" s="34"/>
      <c r="AJ22" s="30"/>
      <c r="AK22" s="30"/>
      <c r="AL22" s="30"/>
      <c r="AM22" s="30"/>
      <c r="AN22" s="30"/>
      <c r="AO22" s="30"/>
    </row>
    <row r="23" spans="3:41" ht="17.25" x14ac:dyDescent="0.3">
      <c r="D23" s="30"/>
      <c r="E23" s="31"/>
      <c r="F23" s="30"/>
      <c r="G23" s="30"/>
      <c r="H23" s="30"/>
      <c r="I23" s="32"/>
      <c r="J23" s="33"/>
      <c r="K23" s="30"/>
      <c r="L23" s="30"/>
      <c r="M23" s="30"/>
      <c r="N23" s="32"/>
      <c r="O23" s="33"/>
      <c r="P23" s="30"/>
      <c r="Q23" s="30"/>
      <c r="R23" s="30"/>
      <c r="S23" s="32"/>
      <c r="T23" s="33"/>
      <c r="U23" s="30"/>
      <c r="V23" s="30"/>
      <c r="W23" s="30"/>
      <c r="X23" s="32"/>
      <c r="Y23" s="33"/>
      <c r="Z23" s="30"/>
      <c r="AA23" s="30"/>
      <c r="AB23" s="30"/>
      <c r="AC23" s="32"/>
      <c r="AD23" s="34"/>
      <c r="AE23" s="30"/>
      <c r="AF23" s="30"/>
      <c r="AG23" s="30"/>
      <c r="AH23" s="32"/>
      <c r="AI23" s="34"/>
      <c r="AJ23" s="30"/>
      <c r="AK23" s="30"/>
      <c r="AL23" s="30"/>
      <c r="AM23" s="30"/>
      <c r="AN23" s="30"/>
      <c r="AO23" s="30"/>
    </row>
  </sheetData>
  <mergeCells count="15">
    <mergeCell ref="Z14:AA14"/>
    <mergeCell ref="Z15:AA15"/>
    <mergeCell ref="F12:G12"/>
    <mergeCell ref="F14:G14"/>
    <mergeCell ref="K10:L10"/>
    <mergeCell ref="U14:V14"/>
    <mergeCell ref="U15:V15"/>
    <mergeCell ref="AH3:AI3"/>
    <mergeCell ref="AM3:AN3"/>
    <mergeCell ref="D3:E3"/>
    <mergeCell ref="I3:J3"/>
    <mergeCell ref="N3:O3"/>
    <mergeCell ref="S3:T3"/>
    <mergeCell ref="X3:Y3"/>
    <mergeCell ref="AC3:AD3"/>
  </mergeCells>
  <pageMargins left="0.7" right="0.7" top="0.78740157499999996" bottom="0.78740157499999996" header="0.3" footer="0.3"/>
  <drawing r:id="rId1"/>
  <legacyDrawing r:id="rId2"/>
  <extLst>
    <ext xmlns:x14="http://schemas.microsoft.com/office/spreadsheetml/2009/9/main" uri="{CCE6A557-97BC-4b89-ADB6-D9C93CAAB3DF}">
      <x14:dataValidations xmlns:xm="http://schemas.microsoft.com/office/excel/2006/main" count="4">
        <x14:dataValidation type="list" allowBlank="1" showInputMessage="1" showErrorMessage="1" xr:uid="{78FBE492-7C72-4AC7-9850-7DFAC7795D09}">
          <x14:formula1>
            <xm:f>LIST!$B$5:$B$105</xm:f>
          </x14:formula1>
          <xm:sqref>O17:O18 T14:T15 Y14:Y15 AD14:AD15 AI17:AI18 AN17:AN18</xm:sqref>
        </x14:dataValidation>
        <x14:dataValidation type="list" allowBlank="1" showInputMessage="1" showErrorMessage="1" xr:uid="{3E242AEE-0A2F-4649-9FF6-4D80B713AA80}">
          <x14:formula1>
            <xm:f>LIST!$D$5:$D$8</xm:f>
          </x14:formula1>
          <xm:sqref>E14</xm:sqref>
        </x14:dataValidation>
        <x14:dataValidation type="list" allowBlank="1" showInputMessage="1" showErrorMessage="1" xr:uid="{705956B6-BF3B-426A-9F5B-DBE5C6C65346}">
          <x14:formula1>
            <xm:f>LIST!$F$5:$F$12</xm:f>
          </x14:formula1>
          <xm:sqref>J10</xm:sqref>
        </x14:dataValidation>
        <x14:dataValidation type="list" allowBlank="1" showInputMessage="1" showErrorMessage="1" xr:uid="{7A22F34D-B452-4BC4-85D0-E3DD03B716D8}">
          <x14:formula1>
            <xm:f>LIST!$I$5:$I$7</xm:f>
          </x14:formula1>
          <xm:sqref>E12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E40"/>
  <sheetViews>
    <sheetView topLeftCell="B1" workbookViewId="0">
      <selection activeCell="AE13" sqref="AE13"/>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6.5703125" bestFit="1" customWidth="1"/>
    <col min="24" max="25" width="3.28515625" customWidth="1"/>
    <col min="26" max="26" width="19.28515625" bestFit="1" customWidth="1"/>
    <col min="28" max="29" width="3.28515625" customWidth="1"/>
    <col min="30" max="30" width="19.28515625" bestFit="1" customWidth="1"/>
  </cols>
  <sheetData>
    <row r="2" spans="2:31" x14ac:dyDescent="0.25">
      <c r="B2" s="6" t="s">
        <v>12</v>
      </c>
      <c r="F2" t="s">
        <v>95</v>
      </c>
      <c r="J2" s="6" t="s">
        <v>34</v>
      </c>
      <c r="K2"/>
      <c r="L2"/>
      <c r="N2" s="6" t="s">
        <v>21</v>
      </c>
      <c r="O2" s="6"/>
      <c r="P2" s="6"/>
      <c r="Q2" s="6"/>
      <c r="R2" s="6" t="s">
        <v>8</v>
      </c>
      <c r="S2" s="6"/>
      <c r="T2" s="6"/>
      <c r="U2" s="6"/>
      <c r="V2" s="6" t="s">
        <v>18</v>
      </c>
      <c r="W2" s="10"/>
      <c r="X2" s="6"/>
      <c r="Y2" s="6"/>
      <c r="Z2" s="6" t="s">
        <v>25</v>
      </c>
      <c r="AA2" s="6"/>
      <c r="AB2" s="6"/>
      <c r="AC2" s="6"/>
      <c r="AD2" s="6" t="s">
        <v>29</v>
      </c>
    </row>
    <row r="3" spans="2:31" x14ac:dyDescent="0.25">
      <c r="K3"/>
      <c r="L3"/>
      <c r="W3" s="2"/>
    </row>
    <row r="4" spans="2:31" x14ac:dyDescent="0.25">
      <c r="B4" t="s">
        <v>0</v>
      </c>
      <c r="C4" s="8">
        <f>'v0.9d'!E6</f>
        <v>1500</v>
      </c>
      <c r="K4"/>
      <c r="L4"/>
      <c r="W4" s="2"/>
    </row>
    <row r="5" spans="2:31" x14ac:dyDescent="0.25">
      <c r="K5"/>
      <c r="L5"/>
      <c r="W5" s="2"/>
    </row>
    <row r="6" spans="2:31" x14ac:dyDescent="0.25">
      <c r="B6" t="s">
        <v>5</v>
      </c>
      <c r="C6" s="4">
        <v>0.20399999999999999</v>
      </c>
      <c r="F6" t="s">
        <v>9</v>
      </c>
      <c r="G6" s="4">
        <f>C11+1</f>
        <v>1.5</v>
      </c>
      <c r="J6" t="s">
        <v>3</v>
      </c>
      <c r="K6">
        <f>'v0.9d'!E8</f>
        <v>245</v>
      </c>
      <c r="L6"/>
      <c r="N6" t="s">
        <v>9</v>
      </c>
      <c r="O6" s="4">
        <f>C13</f>
        <v>1</v>
      </c>
      <c r="R6" t="s">
        <v>17</v>
      </c>
      <c r="S6" s="1">
        <f>C4*C6</f>
        <v>306</v>
      </c>
      <c r="V6" s="66" t="s">
        <v>18</v>
      </c>
      <c r="W6" s="66"/>
      <c r="Z6" t="s">
        <v>3</v>
      </c>
      <c r="AA6" s="4">
        <f>C16</f>
        <v>0.5</v>
      </c>
      <c r="AD6" t="s">
        <v>2</v>
      </c>
      <c r="AE6" s="4">
        <f>C17</f>
        <v>0.5</v>
      </c>
    </row>
    <row r="7" spans="2:31" x14ac:dyDescent="0.25">
      <c r="B7" t="s">
        <v>6</v>
      </c>
      <c r="C7" s="4">
        <v>4.0599999999999997E-2</v>
      </c>
      <c r="F7" t="s">
        <v>10</v>
      </c>
      <c r="G7" s="4">
        <f>C12+1</f>
        <v>1.5</v>
      </c>
      <c r="J7" t="s">
        <v>2</v>
      </c>
      <c r="K7">
        <f>'v0.9d'!E9</f>
        <v>245</v>
      </c>
      <c r="L7"/>
      <c r="N7" t="s">
        <v>10</v>
      </c>
      <c r="O7" s="4">
        <f>C14</f>
        <v>1</v>
      </c>
      <c r="R7" t="s">
        <v>19</v>
      </c>
      <c r="S7" s="1">
        <f>S6*C11</f>
        <v>153</v>
      </c>
      <c r="V7" s="66" t="s">
        <v>73</v>
      </c>
      <c r="W7" s="66">
        <v>20</v>
      </c>
      <c r="Z7" t="s">
        <v>2</v>
      </c>
      <c r="AA7" s="4">
        <f>C17</f>
        <v>0.5</v>
      </c>
      <c r="AD7" t="s">
        <v>16</v>
      </c>
      <c r="AE7" s="4">
        <f>(C22/2)+1</f>
        <v>1.3149999999999999</v>
      </c>
    </row>
    <row r="8" spans="2:31" x14ac:dyDescent="0.25">
      <c r="B8" t="s">
        <v>7</v>
      </c>
      <c r="C8" s="4">
        <f>(C6+C7)/2</f>
        <v>0.12229999999999999</v>
      </c>
      <c r="K8"/>
      <c r="L8"/>
      <c r="O8" s="4"/>
      <c r="R8" t="s">
        <v>20</v>
      </c>
      <c r="S8" s="1">
        <f>S6*C12</f>
        <v>153</v>
      </c>
      <c r="V8" s="66" t="s">
        <v>24</v>
      </c>
      <c r="W8" s="66">
        <v>1</v>
      </c>
    </row>
    <row r="9" spans="2:31" x14ac:dyDescent="0.25">
      <c r="B9" t="s">
        <v>11</v>
      </c>
      <c r="C9" s="4">
        <v>0.67300000000000004</v>
      </c>
      <c r="F9" t="s">
        <v>17</v>
      </c>
      <c r="G9" s="58">
        <f>S6/4750+1</f>
        <v>1.0644210526315789</v>
      </c>
      <c r="J9" t="s">
        <v>37</v>
      </c>
      <c r="K9">
        <v>265</v>
      </c>
      <c r="L9"/>
      <c r="N9" t="s">
        <v>3</v>
      </c>
      <c r="O9" s="4">
        <f>C18</f>
        <v>1</v>
      </c>
      <c r="V9" s="66" t="s">
        <v>74</v>
      </c>
      <c r="W9" s="66">
        <f>W7*W8</f>
        <v>20</v>
      </c>
      <c r="Z9" t="s">
        <v>26</v>
      </c>
      <c r="AA9" s="9">
        <f>ROUNDUP(AA6/(AA6+AA7),2)*100+1</f>
        <v>51</v>
      </c>
      <c r="AD9" t="s">
        <v>52</v>
      </c>
      <c r="AE9">
        <v>185</v>
      </c>
    </row>
    <row r="10" spans="2:31" x14ac:dyDescent="0.25">
      <c r="F10" t="s">
        <v>97</v>
      </c>
      <c r="G10">
        <f>LIST!G13*G9</f>
        <v>1.2453726315789473</v>
      </c>
      <c r="J10" t="s">
        <v>35</v>
      </c>
      <c r="K10" s="7">
        <f>ROUNDDOWN(K9/K6,1)</f>
        <v>1</v>
      </c>
      <c r="L10"/>
      <c r="N10" t="s">
        <v>2</v>
      </c>
      <c r="O10" s="4">
        <f>C19</f>
        <v>1</v>
      </c>
      <c r="R10" t="s">
        <v>13</v>
      </c>
      <c r="S10" s="2">
        <f>(S6*C11)*C9</f>
        <v>102.96900000000001</v>
      </c>
      <c r="V10" s="66"/>
      <c r="W10" s="66"/>
      <c r="AD10" t="s">
        <v>53</v>
      </c>
      <c r="AE10" s="14">
        <f>IF('v0.9d'!E12="FWD",(ROUNDDOWN(AE9/2/'v0.9d'!E8,2)*100)*2,ROUNDDOWN(AE9/2/'v0.9d'!E8,2)*100)</f>
        <v>37</v>
      </c>
    </row>
    <row r="11" spans="2:31" x14ac:dyDescent="0.25">
      <c r="B11" t="s">
        <v>9</v>
      </c>
      <c r="C11" s="4">
        <f>'v0.9d'!E7/100</f>
        <v>0.5</v>
      </c>
      <c r="J11" t="s">
        <v>36</v>
      </c>
      <c r="K11" s="7">
        <f>ROUNDUP(K9/K7,1)</f>
        <v>1.1000000000000001</v>
      </c>
      <c r="L11"/>
      <c r="R11" t="s">
        <v>14</v>
      </c>
      <c r="S11" s="2">
        <f>(S6*C12)*C9</f>
        <v>102.96900000000001</v>
      </c>
      <c r="V11" s="66" t="s">
        <v>72</v>
      </c>
      <c r="W11" s="66"/>
      <c r="AD11" t="s">
        <v>54</v>
      </c>
      <c r="AE11" s="14">
        <f>ROUNDDOWN(AE9/'v0.9d'!E9,2)*100</f>
        <v>75</v>
      </c>
    </row>
    <row r="12" spans="2:31" x14ac:dyDescent="0.25">
      <c r="B12" t="s">
        <v>10</v>
      </c>
      <c r="C12" s="4">
        <f>1-C11</f>
        <v>0.5</v>
      </c>
      <c r="F12" t="s">
        <v>57</v>
      </c>
      <c r="K12"/>
      <c r="L12"/>
      <c r="N12" t="s">
        <v>15</v>
      </c>
      <c r="O12" s="4">
        <f>C23</f>
        <v>0.98699999999999999</v>
      </c>
      <c r="V12" s="66" t="s">
        <v>58</v>
      </c>
      <c r="W12" s="67">
        <f>1-S37/S6</f>
        <v>0.64178272071999998</v>
      </c>
    </row>
    <row r="13" spans="2:31" x14ac:dyDescent="0.25">
      <c r="B13" t="s">
        <v>9</v>
      </c>
      <c r="C13" s="4">
        <f>1+(C11-0.5)</f>
        <v>1</v>
      </c>
      <c r="F13" t="s">
        <v>58</v>
      </c>
      <c r="G13" s="60">
        <f>G10*G6</f>
        <v>1.868058947368421</v>
      </c>
      <c r="J13" t="s">
        <v>34</v>
      </c>
      <c r="K13">
        <v>330</v>
      </c>
      <c r="L13"/>
      <c r="N13" t="s">
        <v>16</v>
      </c>
      <c r="O13" s="4">
        <f>C24</f>
        <v>1.0129999999999999</v>
      </c>
      <c r="R13" t="s">
        <v>24</v>
      </c>
      <c r="S13">
        <v>1.07856</v>
      </c>
      <c r="T13" s="3">
        <v>0.96299999999999997</v>
      </c>
      <c r="V13" s="66" t="s">
        <v>59</v>
      </c>
      <c r="W13" s="67">
        <f>1-S38/S6</f>
        <v>0.63234639928000003</v>
      </c>
      <c r="AD13" t="s">
        <v>52</v>
      </c>
      <c r="AE13">
        <v>435</v>
      </c>
    </row>
    <row r="14" spans="2:31" x14ac:dyDescent="0.25">
      <c r="B14" t="s">
        <v>10</v>
      </c>
      <c r="C14" s="4">
        <f>1+(C12-0.5)</f>
        <v>1</v>
      </c>
      <c r="F14" t="s">
        <v>59</v>
      </c>
      <c r="G14" s="60">
        <f>G10*G7</f>
        <v>1.868058947368421</v>
      </c>
      <c r="J14" t="s">
        <v>48</v>
      </c>
      <c r="K14" s="7">
        <f>(ROUNDUP((K13/'v0.9d'!E8),1)-1)/3</f>
        <v>0.13333333333333339</v>
      </c>
      <c r="L14"/>
      <c r="R14" t="s">
        <v>13</v>
      </c>
      <c r="S14" s="5">
        <f>S10*C18*S13</f>
        <v>111.05824464</v>
      </c>
      <c r="V14" s="66"/>
      <c r="W14" s="66"/>
      <c r="AD14" t="s">
        <v>55</v>
      </c>
      <c r="AE14" s="14">
        <f>ROUNDDOWN(1-'v0.9d'!E8/AE13,2)*10</f>
        <v>4.3</v>
      </c>
    </row>
    <row r="15" spans="2:31" x14ac:dyDescent="0.25">
      <c r="K15"/>
      <c r="L15"/>
      <c r="N15" t="s">
        <v>22</v>
      </c>
      <c r="O15" s="2">
        <f>32*O6*O9*O12</f>
        <v>31.584</v>
      </c>
      <c r="R15" t="s">
        <v>14</v>
      </c>
      <c r="S15" s="5">
        <f>S11*C19*S13</f>
        <v>111.05824464</v>
      </c>
      <c r="V15" s="66" t="s">
        <v>63</v>
      </c>
      <c r="W15" s="66"/>
      <c r="AD15" t="s">
        <v>56</v>
      </c>
      <c r="AE15" s="14">
        <f>ROUNDDOWN(1-'v0.9d'!E9/AE13,2)*100</f>
        <v>43</v>
      </c>
    </row>
    <row r="16" spans="2:31" x14ac:dyDescent="0.25">
      <c r="B16" t="s">
        <v>3</v>
      </c>
      <c r="C16" s="4">
        <f>'v0.9d'!E8/('v0.9d'!E8+'v0.9d'!E9)</f>
        <v>0.5</v>
      </c>
      <c r="J16" t="s">
        <v>34</v>
      </c>
      <c r="K16">
        <v>315</v>
      </c>
      <c r="L16"/>
      <c r="N16" t="s">
        <v>23</v>
      </c>
      <c r="O16" s="2">
        <f>32*O7*O10*C24</f>
        <v>32.415999999999997</v>
      </c>
      <c r="S16" s="2"/>
      <c r="V16" s="66" t="s">
        <v>58</v>
      </c>
      <c r="W16" s="68">
        <f>W9*W12</f>
        <v>12.8356544144</v>
      </c>
    </row>
    <row r="17" spans="2:31" x14ac:dyDescent="0.25">
      <c r="B17" t="s">
        <v>2</v>
      </c>
      <c r="C17" s="4">
        <f>1-C16</f>
        <v>0.5</v>
      </c>
      <c r="J17" t="s">
        <v>49</v>
      </c>
      <c r="K17" s="2">
        <v>0</v>
      </c>
      <c r="L17"/>
      <c r="R17" t="s">
        <v>33</v>
      </c>
      <c r="S17" s="2"/>
      <c r="V17" s="66" t="s">
        <v>59</v>
      </c>
      <c r="W17" s="68">
        <f>W9*W13</f>
        <v>12.646927985600001</v>
      </c>
      <c r="AD17" t="s">
        <v>26</v>
      </c>
      <c r="AE17" s="9">
        <f>ROUNDUP(AE6*AE7*100,0)</f>
        <v>66</v>
      </c>
    </row>
    <row r="18" spans="2:31" x14ac:dyDescent="0.25">
      <c r="B18" t="s">
        <v>3</v>
      </c>
      <c r="C18" s="4">
        <f>1+(C16-0.5)</f>
        <v>1</v>
      </c>
      <c r="J18" t="s">
        <v>49</v>
      </c>
      <c r="K18" s="7">
        <f>('v0.9d'!E9/K16-1)/2</f>
        <v>-0.1111111111111111</v>
      </c>
      <c r="L18"/>
      <c r="N18" t="s">
        <v>101</v>
      </c>
      <c r="O18" s="11">
        <v>-16</v>
      </c>
      <c r="R18" t="s">
        <v>13</v>
      </c>
      <c r="S18" s="2">
        <f>S14*C23</f>
        <v>109.61448745967999</v>
      </c>
      <c r="V18" s="66"/>
      <c r="W18" s="66"/>
      <c r="AD18" t="s">
        <v>76</v>
      </c>
      <c r="AE18" s="9">
        <f>IF('v0.9d'!E14="Balanced",AE17,IF('v0.9d'!E14="Dynamik",AE17+1,IF('v0.9d'!E14="Sport",AE17+2,AE17+4)))</f>
        <v>66</v>
      </c>
    </row>
    <row r="19" spans="2:31" x14ac:dyDescent="0.25">
      <c r="B19" t="s">
        <v>2</v>
      </c>
      <c r="C19" s="4">
        <f>1+(C17-0.5)</f>
        <v>1</v>
      </c>
      <c r="K19"/>
      <c r="L19"/>
      <c r="N19" t="s">
        <v>27</v>
      </c>
      <c r="O19" s="1">
        <f>(100+O18)/100</f>
        <v>0.84</v>
      </c>
      <c r="R19" t="s">
        <v>14</v>
      </c>
      <c r="S19" s="2">
        <f>S15*C24</f>
        <v>112.50200182031999</v>
      </c>
      <c r="V19" s="66" t="s">
        <v>64</v>
      </c>
      <c r="W19" s="66"/>
    </row>
    <row r="20" spans="2:31" x14ac:dyDescent="0.25">
      <c r="J20" t="s">
        <v>50</v>
      </c>
      <c r="K20">
        <v>4.7</v>
      </c>
      <c r="L20"/>
      <c r="N20" t="s">
        <v>28</v>
      </c>
      <c r="O20" s="1">
        <f>1+(1-O19^3)/10</f>
        <v>1.0407295999999999</v>
      </c>
      <c r="S20" s="2"/>
      <c r="V20" s="66" t="s">
        <v>24</v>
      </c>
      <c r="W20" s="66">
        <v>0.53</v>
      </c>
    </row>
    <row r="21" spans="2:31" x14ac:dyDescent="0.25">
      <c r="B21" t="s">
        <v>15</v>
      </c>
      <c r="C21" s="4">
        <f>'v0.9d'!E10</f>
        <v>0.37</v>
      </c>
      <c r="J21" t="s">
        <v>51</v>
      </c>
      <c r="K21" s="7">
        <f>ROUNDDOWN(K20*(1+C16),1)</f>
        <v>7</v>
      </c>
      <c r="L21"/>
      <c r="R21" t="s">
        <v>99</v>
      </c>
      <c r="S21" s="11">
        <f>IF('v0.9d'!E14="Balanced",0,IF('v0.9d'!E14="Dynamik",-2,IF('v0.9d'!E14="Sport",-4,-8)))</f>
        <v>0</v>
      </c>
      <c r="V21" s="66" t="s">
        <v>58</v>
      </c>
      <c r="W21" s="68">
        <f>ROUNDDOWN(W16*W20,1)</f>
        <v>6.8</v>
      </c>
    </row>
    <row r="22" spans="2:31" x14ac:dyDescent="0.25">
      <c r="B22" t="s">
        <v>16</v>
      </c>
      <c r="C22" s="4">
        <f>1-C21</f>
        <v>0.63</v>
      </c>
      <c r="K22"/>
      <c r="L22"/>
      <c r="N22" t="s">
        <v>99</v>
      </c>
      <c r="O22" s="11">
        <f>IF('v0.9d'!E14="Balanced",0,IF('v0.9d'!E14="Dynamik",-8,IF('v0.9d'!E14="Sport",-12,-18)))</f>
        <v>0</v>
      </c>
      <c r="R22" t="s">
        <v>27</v>
      </c>
      <c r="S22" s="1">
        <f>(100+S21)/100</f>
        <v>1</v>
      </c>
      <c r="V22" s="66" t="s">
        <v>59</v>
      </c>
      <c r="W22" s="68">
        <f>ROUNDDOWN(W17*W20,1)</f>
        <v>6.7</v>
      </c>
    </row>
    <row r="23" spans="2:31" x14ac:dyDescent="0.25">
      <c r="B23" t="s">
        <v>15</v>
      </c>
      <c r="C23" s="4">
        <f>1+(C21-0.5)/10</f>
        <v>0.98699999999999999</v>
      </c>
      <c r="K23"/>
      <c r="L23"/>
      <c r="N23" t="s">
        <v>27</v>
      </c>
      <c r="O23" s="1">
        <f>(100+O22)/100</f>
        <v>1</v>
      </c>
      <c r="R23" t="s">
        <v>28</v>
      </c>
      <c r="S23" s="1">
        <f>1+(1-S22^3)/10</f>
        <v>1</v>
      </c>
      <c r="T23" s="1"/>
    </row>
    <row r="24" spans="2:31" x14ac:dyDescent="0.25">
      <c r="B24" t="s">
        <v>16</v>
      </c>
      <c r="C24" s="4">
        <f>1+(C22-0.5)/10</f>
        <v>1.0129999999999999</v>
      </c>
      <c r="K24"/>
      <c r="L24"/>
      <c r="N24" t="s">
        <v>28</v>
      </c>
      <c r="O24" s="1">
        <f>1+(1-O23^3)/10</f>
        <v>1</v>
      </c>
      <c r="S24" s="2"/>
      <c r="T24" s="1"/>
      <c r="X24" s="1"/>
    </row>
    <row r="25" spans="2:31" x14ac:dyDescent="0.25">
      <c r="J25" s="8"/>
      <c r="K25"/>
      <c r="L25"/>
      <c r="R25" t="s">
        <v>100</v>
      </c>
      <c r="S25" s="11">
        <f>IF('v0.9d'!E14="Balanced",0,IF('v0.9d'!E14="Dynamik",2,IF('v0.9d'!E14="Sport",4,6)))</f>
        <v>0</v>
      </c>
      <c r="T25" s="1"/>
      <c r="V25" t="s">
        <v>72</v>
      </c>
      <c r="W25" s="2"/>
    </row>
    <row r="26" spans="2:31" x14ac:dyDescent="0.25">
      <c r="K26"/>
      <c r="L26"/>
      <c r="N26" t="s">
        <v>100</v>
      </c>
      <c r="O26" s="11">
        <f>IF('v0.9d'!E14="Balanced",0,IF('v0.9d'!E14="Dynamik",2,IF('v0.9d'!E14="Sport",4,7)))</f>
        <v>0</v>
      </c>
      <c r="R26" t="s">
        <v>31</v>
      </c>
      <c r="S26" s="2">
        <f>1+S25/100</f>
        <v>1</v>
      </c>
      <c r="T26" s="1"/>
      <c r="V26" t="s">
        <v>58</v>
      </c>
      <c r="W26" s="4">
        <f>S37/S6</f>
        <v>0.35821727927999997</v>
      </c>
    </row>
    <row r="27" spans="2:31" x14ac:dyDescent="0.25">
      <c r="K27"/>
      <c r="L27"/>
      <c r="N27" t="s">
        <v>31</v>
      </c>
      <c r="O27" s="1">
        <f>1+O26/100</f>
        <v>1</v>
      </c>
      <c r="R27" t="s">
        <v>32</v>
      </c>
      <c r="S27" s="2">
        <f>1+S25/100</f>
        <v>1</v>
      </c>
      <c r="T27" s="1"/>
      <c r="V27" t="s">
        <v>59</v>
      </c>
      <c r="W27" s="4">
        <f>S38/S6</f>
        <v>0.36765360071999997</v>
      </c>
    </row>
    <row r="28" spans="2:31" x14ac:dyDescent="0.25">
      <c r="K28"/>
      <c r="L28"/>
      <c r="N28" t="s">
        <v>32</v>
      </c>
      <c r="O28" s="1">
        <f>1+O26/100</f>
        <v>1</v>
      </c>
      <c r="S28" s="2"/>
      <c r="T28" s="1"/>
      <c r="V28" t="s">
        <v>74</v>
      </c>
      <c r="W28">
        <v>20</v>
      </c>
    </row>
    <row r="29" spans="2:31" x14ac:dyDescent="0.25">
      <c r="K29"/>
      <c r="L29"/>
      <c r="R29" t="s">
        <v>24</v>
      </c>
      <c r="S29" s="11">
        <f>'v0.9d'!Y14</f>
        <v>0</v>
      </c>
      <c r="T29" s="1"/>
      <c r="V29" t="s">
        <v>0</v>
      </c>
      <c r="W29">
        <f>S6/2000+1</f>
        <v>1.153</v>
      </c>
    </row>
    <row r="30" spans="2:31" x14ac:dyDescent="0.25">
      <c r="K30"/>
      <c r="L30"/>
      <c r="N30" t="s">
        <v>24</v>
      </c>
      <c r="O30" s="11">
        <f>'v0.9d'!T14</f>
        <v>0</v>
      </c>
      <c r="R30" t="s">
        <v>27</v>
      </c>
      <c r="S30" s="1">
        <f>(100+S29)/100</f>
        <v>1</v>
      </c>
      <c r="T30" s="1"/>
      <c r="V30" t="s">
        <v>98</v>
      </c>
      <c r="W30">
        <f>W28*W29</f>
        <v>23.060000000000002</v>
      </c>
    </row>
    <row r="31" spans="2:31" x14ac:dyDescent="0.25">
      <c r="K31"/>
      <c r="L31"/>
      <c r="N31" t="s">
        <v>27</v>
      </c>
      <c r="O31" s="1">
        <f>(100+O30)/100</f>
        <v>1</v>
      </c>
      <c r="R31" t="s">
        <v>28</v>
      </c>
      <c r="S31" s="1">
        <f>1+(1-S30^3)/10</f>
        <v>1</v>
      </c>
      <c r="T31" s="1"/>
      <c r="V31" t="s">
        <v>75</v>
      </c>
      <c r="W31">
        <f>IF('v0.9d'!E14="Balanced",1,IF('v0.9d'!E14="Dynamik",1.02,IF('v0.9d'!E14="Sport",1.05,1.09)))</f>
        <v>1</v>
      </c>
    </row>
    <row r="32" spans="2:31" x14ac:dyDescent="0.25">
      <c r="K32"/>
      <c r="L32"/>
      <c r="N32" t="s">
        <v>28</v>
      </c>
      <c r="O32" s="1">
        <f>1+(1-O31^3)/10</f>
        <v>1</v>
      </c>
      <c r="P32" s="1"/>
      <c r="S32" s="2"/>
    </row>
    <row r="33" spans="11:23" x14ac:dyDescent="0.25">
      <c r="K33"/>
      <c r="L33"/>
      <c r="P33" s="1"/>
      <c r="R33" t="s">
        <v>30</v>
      </c>
      <c r="S33" s="11">
        <f>'v0.9d'!Y15</f>
        <v>0</v>
      </c>
      <c r="V33" t="s">
        <v>63</v>
      </c>
    </row>
    <row r="34" spans="11:23" x14ac:dyDescent="0.25">
      <c r="K34"/>
      <c r="L34"/>
      <c r="N34" t="s">
        <v>30</v>
      </c>
      <c r="O34" s="11">
        <f>'v0.9d'!T15</f>
        <v>0</v>
      </c>
      <c r="P34" s="1"/>
      <c r="R34" t="s">
        <v>31</v>
      </c>
      <c r="S34" s="1">
        <f>1+S33/100</f>
        <v>1</v>
      </c>
      <c r="V34" t="s">
        <v>58</v>
      </c>
      <c r="W34" s="7">
        <f>W30*W26</f>
        <v>8.2604904601968006</v>
      </c>
    </row>
    <row r="35" spans="11:23" x14ac:dyDescent="0.25">
      <c r="K35"/>
      <c r="L35"/>
      <c r="N35" t="s">
        <v>31</v>
      </c>
      <c r="O35" s="1">
        <f>1+O34/100</f>
        <v>1</v>
      </c>
      <c r="P35" s="1"/>
      <c r="R35" t="s">
        <v>32</v>
      </c>
      <c r="S35" s="1">
        <f>1+S33/100</f>
        <v>1</v>
      </c>
      <c r="V35" t="s">
        <v>59</v>
      </c>
      <c r="W35" s="7">
        <f>W30*W27*W31</f>
        <v>8.4780920326032003</v>
      </c>
    </row>
    <row r="36" spans="11:23" x14ac:dyDescent="0.25">
      <c r="K36"/>
      <c r="L36"/>
      <c r="N36" t="s">
        <v>32</v>
      </c>
      <c r="O36" s="1">
        <f>1+O34/100</f>
        <v>1</v>
      </c>
      <c r="P36" s="1"/>
      <c r="W36" s="2"/>
    </row>
    <row r="37" spans="11:23" x14ac:dyDescent="0.25">
      <c r="K37"/>
      <c r="L37"/>
      <c r="O37" s="2"/>
      <c r="P37" s="1"/>
      <c r="R37" t="s">
        <v>13</v>
      </c>
      <c r="S37" s="7">
        <f>S18*S22*S26*S30*S34</f>
        <v>109.61448745967999</v>
      </c>
      <c r="V37" t="s">
        <v>64</v>
      </c>
      <c r="W37" s="2"/>
    </row>
    <row r="38" spans="11:23" x14ac:dyDescent="0.25">
      <c r="K38"/>
      <c r="L38"/>
      <c r="N38" t="s">
        <v>22</v>
      </c>
      <c r="O38" s="7">
        <f>(O15*O23^2)*O27*O31*O35*O19</f>
        <v>26.530559999999998</v>
      </c>
      <c r="P38" s="1"/>
      <c r="R38" t="s">
        <v>14</v>
      </c>
      <c r="S38" s="7">
        <f>S19*S23*S27*S31*S35</f>
        <v>112.50200182031999</v>
      </c>
      <c r="V38" t="s">
        <v>24</v>
      </c>
      <c r="W38" s="1">
        <v>0.47</v>
      </c>
    </row>
    <row r="39" spans="11:23" x14ac:dyDescent="0.25">
      <c r="N39" t="s">
        <v>23</v>
      </c>
      <c r="O39" s="7">
        <f>(O16*O24)*O28*O32*O36*O20</f>
        <v>33.736290713599992</v>
      </c>
      <c r="V39" t="s">
        <v>58</v>
      </c>
      <c r="W39" s="7">
        <f>W34*W38</f>
        <v>3.8824305162924961</v>
      </c>
    </row>
    <row r="40" spans="11:23" x14ac:dyDescent="0.25">
      <c r="O40" s="2"/>
      <c r="V40" t="s">
        <v>59</v>
      </c>
      <c r="W40" s="7">
        <f>W38*W35</f>
        <v>3.9847032553235038</v>
      </c>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L105"/>
  <sheetViews>
    <sheetView workbookViewId="0">
      <selection activeCell="G13" sqref="G13"/>
    </sheetView>
  </sheetViews>
  <sheetFormatPr baseColWidth="10" defaultRowHeight="15" x14ac:dyDescent="0.25"/>
  <cols>
    <col min="1" max="1" width="11.7109375" customWidth="1"/>
    <col min="2" max="2" width="11.7109375" style="12" customWidth="1"/>
    <col min="3" max="17" width="11.7109375" customWidth="1"/>
  </cols>
  <sheetData>
    <row r="3" spans="2:12" ht="25.5" x14ac:dyDescent="0.35">
      <c r="B3" s="13" t="s">
        <v>38</v>
      </c>
      <c r="D3" t="s">
        <v>75</v>
      </c>
      <c r="F3" s="6" t="s">
        <v>39</v>
      </c>
      <c r="G3" s="6" t="s">
        <v>40</v>
      </c>
      <c r="I3" s="6" t="s">
        <v>85</v>
      </c>
      <c r="K3" s="15" t="s">
        <v>77</v>
      </c>
    </row>
    <row r="4" spans="2:12" ht="18.75" x14ac:dyDescent="0.3">
      <c r="K4" s="16" t="s">
        <v>78</v>
      </c>
    </row>
    <row r="5" spans="2:12" x14ac:dyDescent="0.25">
      <c r="B5" s="12">
        <v>-50</v>
      </c>
      <c r="D5" t="s">
        <v>82</v>
      </c>
      <c r="F5" t="s">
        <v>41</v>
      </c>
      <c r="G5">
        <v>1.17</v>
      </c>
      <c r="I5" t="s">
        <v>86</v>
      </c>
    </row>
    <row r="6" spans="2:12" x14ac:dyDescent="0.25">
      <c r="B6" s="12">
        <v>-49</v>
      </c>
      <c r="D6" t="s">
        <v>83</v>
      </c>
      <c r="F6" t="s">
        <v>42</v>
      </c>
      <c r="G6">
        <v>1.17</v>
      </c>
      <c r="I6" t="s">
        <v>87</v>
      </c>
      <c r="K6" s="72" t="s">
        <v>80</v>
      </c>
      <c r="L6" s="72"/>
    </row>
    <row r="7" spans="2:12" x14ac:dyDescent="0.25">
      <c r="B7" s="12">
        <v>-48</v>
      </c>
      <c r="D7" t="s">
        <v>42</v>
      </c>
      <c r="F7" t="s">
        <v>43</v>
      </c>
      <c r="G7">
        <v>1.31</v>
      </c>
      <c r="I7" t="s">
        <v>88</v>
      </c>
      <c r="K7" s="73" t="s">
        <v>81</v>
      </c>
      <c r="L7" s="73"/>
    </row>
    <row r="8" spans="2:12" x14ac:dyDescent="0.25">
      <c r="B8" s="12">
        <v>-47</v>
      </c>
      <c r="D8" t="s">
        <v>84</v>
      </c>
      <c r="F8" t="s">
        <v>44</v>
      </c>
      <c r="G8">
        <v>1.39</v>
      </c>
      <c r="K8" s="74" t="s">
        <v>79</v>
      </c>
      <c r="L8" s="74"/>
    </row>
    <row r="9" spans="2:12" x14ac:dyDescent="0.25">
      <c r="B9" s="12">
        <v>-46</v>
      </c>
      <c r="F9" t="s">
        <v>45</v>
      </c>
      <c r="G9">
        <v>1.1499999999999999</v>
      </c>
    </row>
    <row r="10" spans="2:12" x14ac:dyDescent="0.25">
      <c r="B10" s="12">
        <v>-45</v>
      </c>
      <c r="F10" t="s">
        <v>46</v>
      </c>
      <c r="G10">
        <v>1.17</v>
      </c>
    </row>
    <row r="11" spans="2:12" x14ac:dyDescent="0.25">
      <c r="B11" s="12">
        <v>-44</v>
      </c>
      <c r="F11" t="s">
        <v>47</v>
      </c>
      <c r="G11">
        <v>0.77</v>
      </c>
    </row>
    <row r="12" spans="2:12" x14ac:dyDescent="0.25">
      <c r="B12" s="12">
        <v>-43</v>
      </c>
      <c r="F12" t="s">
        <v>61</v>
      </c>
      <c r="G12">
        <v>0.67</v>
      </c>
    </row>
    <row r="13" spans="2:12" x14ac:dyDescent="0.25">
      <c r="B13" s="12">
        <v>-42</v>
      </c>
      <c r="F13" t="s">
        <v>60</v>
      </c>
      <c r="G13">
        <f>IF('v0.9d'!J10="Straße",G5,IF('v0.9d'!J10="Sport",G6,IF('v0.9d'!J10="Semi-Slick",G7,IF('v0.9d'!J10="Slick",G8,IF('v0.9d'!J10="Drift",G9,IF('v0.9d'!J10="Rallye",G10,IF('v0.9d'!J10="Offroad",G11,G12)))))))</f>
        <v>1.17</v>
      </c>
    </row>
    <row r="14" spans="2:12" x14ac:dyDescent="0.25">
      <c r="B14" s="12">
        <v>-41</v>
      </c>
    </row>
    <row r="15" spans="2:12" x14ac:dyDescent="0.25">
      <c r="B15" s="12">
        <v>-40</v>
      </c>
    </row>
    <row r="16" spans="2:12" x14ac:dyDescent="0.25">
      <c r="B16" s="12">
        <v>-39</v>
      </c>
    </row>
    <row r="17" spans="2:2" x14ac:dyDescent="0.25">
      <c r="B17" s="12">
        <v>-38</v>
      </c>
    </row>
    <row r="18" spans="2:2" x14ac:dyDescent="0.25">
      <c r="B18" s="12">
        <v>-37</v>
      </c>
    </row>
    <row r="19" spans="2:2" x14ac:dyDescent="0.25">
      <c r="B19" s="12">
        <v>-36</v>
      </c>
    </row>
    <row r="20" spans="2:2" x14ac:dyDescent="0.25">
      <c r="B20" s="12">
        <v>-35</v>
      </c>
    </row>
    <row r="21" spans="2:2" x14ac:dyDescent="0.25">
      <c r="B21" s="12">
        <v>-34</v>
      </c>
    </row>
    <row r="22" spans="2:2" x14ac:dyDescent="0.25">
      <c r="B22" s="12">
        <v>-33</v>
      </c>
    </row>
    <row r="23" spans="2:2" x14ac:dyDescent="0.25">
      <c r="B23" s="12">
        <v>-32</v>
      </c>
    </row>
    <row r="24" spans="2:2" x14ac:dyDescent="0.25">
      <c r="B24" s="12">
        <v>-31</v>
      </c>
    </row>
    <row r="25" spans="2:2" x14ac:dyDescent="0.25">
      <c r="B25" s="12">
        <v>-30</v>
      </c>
    </row>
    <row r="26" spans="2:2" x14ac:dyDescent="0.25">
      <c r="B26" s="12">
        <v>-29</v>
      </c>
    </row>
    <row r="27" spans="2:2" x14ac:dyDescent="0.25">
      <c r="B27" s="12">
        <v>-28</v>
      </c>
    </row>
    <row r="28" spans="2:2" x14ac:dyDescent="0.25">
      <c r="B28" s="12">
        <v>-27</v>
      </c>
    </row>
    <row r="29" spans="2:2" x14ac:dyDescent="0.25">
      <c r="B29" s="12">
        <v>-26</v>
      </c>
    </row>
    <row r="30" spans="2:2" x14ac:dyDescent="0.25">
      <c r="B30" s="12">
        <v>-25</v>
      </c>
    </row>
    <row r="31" spans="2:2" x14ac:dyDescent="0.25">
      <c r="B31" s="12">
        <v>-24</v>
      </c>
    </row>
    <row r="32" spans="2:2" x14ac:dyDescent="0.25">
      <c r="B32" s="12">
        <v>-23</v>
      </c>
    </row>
    <row r="33" spans="2:2" x14ac:dyDescent="0.25">
      <c r="B33" s="12">
        <v>-22</v>
      </c>
    </row>
    <row r="34" spans="2:2" x14ac:dyDescent="0.25">
      <c r="B34" s="12">
        <v>-21</v>
      </c>
    </row>
    <row r="35" spans="2:2" x14ac:dyDescent="0.25">
      <c r="B35" s="12">
        <v>-20</v>
      </c>
    </row>
    <row r="36" spans="2:2" x14ac:dyDescent="0.25">
      <c r="B36" s="12">
        <v>-19</v>
      </c>
    </row>
    <row r="37" spans="2:2" x14ac:dyDescent="0.25">
      <c r="B37" s="12">
        <v>-18</v>
      </c>
    </row>
    <row r="38" spans="2:2" x14ac:dyDescent="0.25">
      <c r="B38" s="12">
        <v>-17</v>
      </c>
    </row>
    <row r="39" spans="2:2" x14ac:dyDescent="0.25">
      <c r="B39" s="12">
        <v>-16</v>
      </c>
    </row>
    <row r="40" spans="2:2" x14ac:dyDescent="0.25">
      <c r="B40" s="12">
        <v>-15</v>
      </c>
    </row>
    <row r="41" spans="2:2" x14ac:dyDescent="0.25">
      <c r="B41" s="12">
        <v>-14</v>
      </c>
    </row>
    <row r="42" spans="2:2" x14ac:dyDescent="0.25">
      <c r="B42" s="12">
        <v>-13</v>
      </c>
    </row>
    <row r="43" spans="2:2" x14ac:dyDescent="0.25">
      <c r="B43" s="12">
        <v>-12</v>
      </c>
    </row>
    <row r="44" spans="2:2" x14ac:dyDescent="0.25">
      <c r="B44" s="12">
        <v>-11</v>
      </c>
    </row>
    <row r="45" spans="2:2" x14ac:dyDescent="0.25">
      <c r="B45" s="12">
        <v>-10</v>
      </c>
    </row>
    <row r="46" spans="2:2" x14ac:dyDescent="0.25">
      <c r="B46" s="12">
        <v>-9</v>
      </c>
    </row>
    <row r="47" spans="2:2" x14ac:dyDescent="0.25">
      <c r="B47" s="12">
        <v>-8</v>
      </c>
    </row>
    <row r="48" spans="2:2" x14ac:dyDescent="0.25">
      <c r="B48" s="12">
        <v>-7</v>
      </c>
    </row>
    <row r="49" spans="2:2" x14ac:dyDescent="0.25">
      <c r="B49" s="12">
        <v>-6</v>
      </c>
    </row>
    <row r="50" spans="2:2" x14ac:dyDescent="0.25">
      <c r="B50" s="12">
        <v>-5</v>
      </c>
    </row>
    <row r="51" spans="2:2" x14ac:dyDescent="0.25">
      <c r="B51" s="12">
        <v>-4</v>
      </c>
    </row>
    <row r="52" spans="2:2" x14ac:dyDescent="0.25">
      <c r="B52" s="12">
        <v>-3</v>
      </c>
    </row>
    <row r="53" spans="2:2" x14ac:dyDescent="0.25">
      <c r="B53" s="12">
        <v>-2</v>
      </c>
    </row>
    <row r="54" spans="2:2" x14ac:dyDescent="0.25">
      <c r="B54" s="12">
        <v>-1</v>
      </c>
    </row>
    <row r="55" spans="2:2" x14ac:dyDescent="0.25">
      <c r="B55" s="12">
        <v>0</v>
      </c>
    </row>
    <row r="56" spans="2:2" x14ac:dyDescent="0.25">
      <c r="B56" s="12">
        <v>1</v>
      </c>
    </row>
    <row r="57" spans="2:2" x14ac:dyDescent="0.25">
      <c r="B57" s="12">
        <v>2</v>
      </c>
    </row>
    <row r="58" spans="2:2" x14ac:dyDescent="0.25">
      <c r="B58" s="12">
        <v>3</v>
      </c>
    </row>
    <row r="59" spans="2:2" x14ac:dyDescent="0.25">
      <c r="B59" s="12">
        <v>4</v>
      </c>
    </row>
    <row r="60" spans="2:2" x14ac:dyDescent="0.25">
      <c r="B60" s="12">
        <v>5</v>
      </c>
    </row>
    <row r="61" spans="2:2" x14ac:dyDescent="0.25">
      <c r="B61" s="12">
        <v>6</v>
      </c>
    </row>
    <row r="62" spans="2:2" x14ac:dyDescent="0.25">
      <c r="B62" s="12">
        <v>7</v>
      </c>
    </row>
    <row r="63" spans="2:2" x14ac:dyDescent="0.25">
      <c r="B63" s="12">
        <v>8</v>
      </c>
    </row>
    <row r="64" spans="2:2" x14ac:dyDescent="0.25">
      <c r="B64" s="12">
        <v>9</v>
      </c>
    </row>
    <row r="65" spans="2:2" x14ac:dyDescent="0.25">
      <c r="B65" s="12">
        <v>10</v>
      </c>
    </row>
    <row r="66" spans="2:2" x14ac:dyDescent="0.25">
      <c r="B66" s="12">
        <v>11</v>
      </c>
    </row>
    <row r="67" spans="2:2" x14ac:dyDescent="0.25">
      <c r="B67" s="12">
        <v>12</v>
      </c>
    </row>
    <row r="68" spans="2:2" x14ac:dyDescent="0.25">
      <c r="B68" s="12">
        <v>13</v>
      </c>
    </row>
    <row r="69" spans="2:2" x14ac:dyDescent="0.25">
      <c r="B69" s="12">
        <v>14</v>
      </c>
    </row>
    <row r="70" spans="2:2" x14ac:dyDescent="0.25">
      <c r="B70" s="12">
        <v>15</v>
      </c>
    </row>
    <row r="71" spans="2:2" x14ac:dyDescent="0.25">
      <c r="B71" s="12">
        <v>16</v>
      </c>
    </row>
    <row r="72" spans="2:2" x14ac:dyDescent="0.25">
      <c r="B72" s="12">
        <v>17</v>
      </c>
    </row>
    <row r="73" spans="2:2" x14ac:dyDescent="0.25">
      <c r="B73" s="12">
        <v>18</v>
      </c>
    </row>
    <row r="74" spans="2:2" x14ac:dyDescent="0.25">
      <c r="B74" s="12">
        <v>19</v>
      </c>
    </row>
    <row r="75" spans="2:2" x14ac:dyDescent="0.25">
      <c r="B75" s="12">
        <v>20</v>
      </c>
    </row>
    <row r="76" spans="2:2" x14ac:dyDescent="0.25">
      <c r="B76" s="12">
        <v>21</v>
      </c>
    </row>
    <row r="77" spans="2:2" x14ac:dyDescent="0.25">
      <c r="B77" s="12">
        <v>22</v>
      </c>
    </row>
    <row r="78" spans="2:2" x14ac:dyDescent="0.25">
      <c r="B78" s="12">
        <v>23</v>
      </c>
    </row>
    <row r="79" spans="2:2" x14ac:dyDescent="0.25">
      <c r="B79" s="12">
        <v>24</v>
      </c>
    </row>
    <row r="80" spans="2:2" x14ac:dyDescent="0.25">
      <c r="B80" s="12">
        <v>25</v>
      </c>
    </row>
    <row r="81" spans="2:2" x14ac:dyDescent="0.25">
      <c r="B81" s="12">
        <v>26</v>
      </c>
    </row>
    <row r="82" spans="2:2" x14ac:dyDescent="0.25">
      <c r="B82" s="12">
        <v>27</v>
      </c>
    </row>
    <row r="83" spans="2:2" x14ac:dyDescent="0.25">
      <c r="B83" s="12">
        <v>28</v>
      </c>
    </row>
    <row r="84" spans="2:2" x14ac:dyDescent="0.25">
      <c r="B84" s="12">
        <v>29</v>
      </c>
    </row>
    <row r="85" spans="2:2" x14ac:dyDescent="0.25">
      <c r="B85" s="12">
        <v>30</v>
      </c>
    </row>
    <row r="86" spans="2:2" x14ac:dyDescent="0.25">
      <c r="B86" s="12">
        <v>31</v>
      </c>
    </row>
    <row r="87" spans="2:2" x14ac:dyDescent="0.25">
      <c r="B87" s="12">
        <v>32</v>
      </c>
    </row>
    <row r="88" spans="2:2" x14ac:dyDescent="0.25">
      <c r="B88" s="12">
        <v>33</v>
      </c>
    </row>
    <row r="89" spans="2:2" x14ac:dyDescent="0.25">
      <c r="B89" s="12">
        <v>34</v>
      </c>
    </row>
    <row r="90" spans="2:2" x14ac:dyDescent="0.25">
      <c r="B90" s="12">
        <v>35</v>
      </c>
    </row>
    <row r="91" spans="2:2" x14ac:dyDescent="0.25">
      <c r="B91" s="12">
        <v>36</v>
      </c>
    </row>
    <row r="92" spans="2:2" x14ac:dyDescent="0.25">
      <c r="B92" s="12">
        <v>37</v>
      </c>
    </row>
    <row r="93" spans="2:2" x14ac:dyDescent="0.25">
      <c r="B93" s="12">
        <v>38</v>
      </c>
    </row>
    <row r="94" spans="2:2" x14ac:dyDescent="0.25">
      <c r="B94" s="12">
        <v>39</v>
      </c>
    </row>
    <row r="95" spans="2:2" x14ac:dyDescent="0.25">
      <c r="B95" s="12">
        <v>40</v>
      </c>
    </row>
    <row r="96" spans="2:2" x14ac:dyDescent="0.25">
      <c r="B96" s="12">
        <v>41</v>
      </c>
    </row>
    <row r="97" spans="2:2" x14ac:dyDescent="0.25">
      <c r="B97" s="12">
        <v>42</v>
      </c>
    </row>
    <row r="98" spans="2:2" x14ac:dyDescent="0.25">
      <c r="B98" s="12">
        <v>43</v>
      </c>
    </row>
    <row r="99" spans="2:2" x14ac:dyDescent="0.25">
      <c r="B99" s="12">
        <v>44</v>
      </c>
    </row>
    <row r="100" spans="2:2" x14ac:dyDescent="0.25">
      <c r="B100" s="12">
        <v>45</v>
      </c>
    </row>
    <row r="101" spans="2:2" x14ac:dyDescent="0.25">
      <c r="B101" s="12">
        <v>46</v>
      </c>
    </row>
    <row r="102" spans="2:2" x14ac:dyDescent="0.25">
      <c r="B102" s="12">
        <v>47</v>
      </c>
    </row>
    <row r="103" spans="2:2" x14ac:dyDescent="0.25">
      <c r="B103" s="12">
        <v>48</v>
      </c>
    </row>
    <row r="104" spans="2:2" x14ac:dyDescent="0.25">
      <c r="B104" s="12">
        <v>49</v>
      </c>
    </row>
    <row r="105" spans="2:2" x14ac:dyDescent="0.25">
      <c r="B105" s="12">
        <v>50</v>
      </c>
    </row>
  </sheetData>
  <mergeCells count="3">
    <mergeCell ref="K6:L6"/>
    <mergeCell ref="K7:L7"/>
    <mergeCell ref="K8:L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v0.9d</vt:lpstr>
      <vt:lpstr>CALC</vt:lpstr>
      <vt:lpstr>LIST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2026-05-30T18:47:08Z</dcterms:modified>
</cp:coreProperties>
</file>